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PAVEMENT\HAMILTON\BUN2COMM.95\DESIGN\Grant Applications\BUILD 2020\"/>
    </mc:Choice>
  </mc:AlternateContent>
  <bookViews>
    <workbookView xWindow="0" yWindow="0" windowWidth="18720" windowHeight="12060" tabRatio="695"/>
  </bookViews>
  <sheets>
    <sheet name="Total Benefits" sheetId="3" r:id="rId1"/>
    <sheet name="Discounted BC (30)" sheetId="11" r:id="rId2"/>
    <sheet name="Delay" sheetId="2" r:id="rId3"/>
    <sheet name="Emissions Rates" sheetId="4" r:id="rId4"/>
    <sheet name="Emissions" sheetId="17" r:id="rId5"/>
    <sheet name="Cost Estimate" sheetId="8" r:id="rId6"/>
    <sheet name="Maintenance" sheetId="9" r:id="rId7"/>
    <sheet name="Road Crash Summary" sheetId="13" r:id="rId8"/>
    <sheet name="Bunn at Hamilton" sheetId="16" r:id="rId9"/>
    <sheet name="Roadway Segment" sheetId="14" r:id="rId10"/>
    <sheet name="Morissey at Hamilton" sheetId="15" r:id="rId11"/>
    <sheet name="Rail Crossings" sheetId="12"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4" l="1"/>
  <c r="C3" i="4"/>
  <c r="E7" i="13" l="1"/>
  <c r="E6" i="13"/>
  <c r="D7" i="13"/>
  <c r="D6" i="13"/>
  <c r="E5" i="13"/>
  <c r="E4" i="13"/>
  <c r="C6" i="13"/>
  <c r="C4" i="13"/>
  <c r="C19" i="16"/>
  <c r="C20" i="16"/>
  <c r="C2" i="13" s="1"/>
  <c r="C21" i="16"/>
  <c r="C22" i="16"/>
  <c r="C3" i="13" s="1"/>
  <c r="C34" i="15"/>
  <c r="C35" i="15"/>
  <c r="C36" i="15"/>
  <c r="B37" i="15"/>
  <c r="C37" i="15" s="1"/>
  <c r="C7" i="13" s="1"/>
  <c r="C17" i="14"/>
  <c r="C18" i="14"/>
  <c r="C19" i="14"/>
  <c r="C20" i="14"/>
  <c r="C5" i="13" s="1"/>
  <c r="D25" i="13"/>
  <c r="D4" i="13" s="1"/>
  <c r="G3" i="12"/>
  <c r="H4" i="12"/>
  <c r="G5" i="12"/>
  <c r="G6" i="12"/>
  <c r="C11" i="12"/>
  <c r="C13" i="12"/>
  <c r="C14" i="12"/>
  <c r="H7" i="12" l="1"/>
  <c r="I7" i="12" s="1"/>
  <c r="C8" i="13"/>
  <c r="B17" i="3" s="1"/>
  <c r="D5" i="13"/>
  <c r="F5" i="13" s="1"/>
  <c r="F6" i="13"/>
  <c r="F7" i="13"/>
  <c r="F4" i="13"/>
  <c r="F3" i="13"/>
  <c r="F2" i="13"/>
  <c r="C9" i="13"/>
  <c r="B15" i="3" s="1"/>
  <c r="F8" i="13" l="1"/>
  <c r="C17" i="3" s="1"/>
  <c r="F9" i="13"/>
  <c r="C15" i="3" s="1"/>
  <c r="C7" i="3"/>
  <c r="B7" i="3"/>
  <c r="C6" i="3"/>
  <c r="B6" i="3"/>
  <c r="G9" i="13" l="1"/>
  <c r="G8" i="13"/>
  <c r="G11" i="3"/>
  <c r="G10" i="3"/>
  <c r="G13" i="3"/>
  <c r="G12" i="3"/>
  <c r="G17" i="3"/>
  <c r="G15" i="3"/>
  <c r="G7" i="3"/>
  <c r="G6" i="3"/>
  <c r="C36" i="11" l="1"/>
  <c r="E36" i="11" s="1"/>
  <c r="G36" i="11" s="1"/>
  <c r="D35" i="11"/>
  <c r="F35" i="11" s="1"/>
  <c r="H35" i="11" s="1"/>
  <c r="D34" i="11"/>
  <c r="F34" i="11" s="1"/>
  <c r="H34" i="11" s="1"/>
  <c r="D33" i="11"/>
  <c r="F33" i="11" s="1"/>
  <c r="H33" i="11" s="1"/>
  <c r="D32" i="11"/>
  <c r="F32" i="11" s="1"/>
  <c r="H32" i="11" s="1"/>
  <c r="D31" i="11"/>
  <c r="F31" i="11" s="1"/>
  <c r="H31" i="11" s="1"/>
  <c r="D30" i="11"/>
  <c r="F30" i="11" s="1"/>
  <c r="H30" i="11" s="1"/>
  <c r="D28" i="11"/>
  <c r="F28" i="11" s="1"/>
  <c r="H28" i="11" s="1"/>
  <c r="D27" i="11"/>
  <c r="F27" i="11" s="1"/>
  <c r="H27" i="11" s="1"/>
  <c r="D26" i="11"/>
  <c r="F26" i="11" s="1"/>
  <c r="H26" i="11" s="1"/>
  <c r="D25" i="11"/>
  <c r="F25" i="11" s="1"/>
  <c r="H25" i="11" s="1"/>
  <c r="D24" i="11"/>
  <c r="F24" i="11" s="1"/>
  <c r="H24" i="11" s="1"/>
  <c r="D23" i="11"/>
  <c r="F23" i="11" s="1"/>
  <c r="H23" i="11" s="1"/>
  <c r="D22" i="11"/>
  <c r="F22" i="11" s="1"/>
  <c r="H22" i="11" s="1"/>
  <c r="D21" i="11"/>
  <c r="F21" i="11" s="1"/>
  <c r="H21" i="11" s="1"/>
  <c r="D20" i="11"/>
  <c r="F20" i="11" s="1"/>
  <c r="H20" i="11" s="1"/>
  <c r="D19" i="11"/>
  <c r="F19" i="11" s="1"/>
  <c r="H19" i="11" s="1"/>
  <c r="D18" i="11"/>
  <c r="F18" i="11" s="1"/>
  <c r="H18" i="11" s="1"/>
  <c r="D16" i="11"/>
  <c r="F16" i="11" s="1"/>
  <c r="H16" i="11" s="1"/>
  <c r="D15" i="11"/>
  <c r="F15" i="11" s="1"/>
  <c r="H15" i="11" s="1"/>
  <c r="D14" i="11"/>
  <c r="F14" i="11" s="1"/>
  <c r="H14" i="11" s="1"/>
  <c r="D13" i="11"/>
  <c r="F13" i="11" s="1"/>
  <c r="H13" i="11" s="1"/>
  <c r="D12" i="11"/>
  <c r="F12" i="11" s="1"/>
  <c r="H12" i="11" s="1"/>
  <c r="D11" i="11"/>
  <c r="F11" i="11" s="1"/>
  <c r="H11" i="11" s="1"/>
  <c r="D10" i="11"/>
  <c r="F10" i="11" s="1"/>
  <c r="H10" i="11" s="1"/>
  <c r="D9" i="11"/>
  <c r="F9" i="11" s="1"/>
  <c r="H9" i="11" s="1"/>
  <c r="D8" i="11"/>
  <c r="F8" i="11" s="1"/>
  <c r="H8" i="11" s="1"/>
  <c r="D7" i="11"/>
  <c r="F7" i="11" s="1"/>
  <c r="H7" i="11" s="1"/>
  <c r="D6" i="11"/>
  <c r="A6" i="11"/>
  <c r="H5" i="11"/>
  <c r="B5" i="11"/>
  <c r="B6" i="11" s="1"/>
  <c r="B7" i="11" s="1"/>
  <c r="B8" i="11" s="1"/>
  <c r="B9" i="11" s="1"/>
  <c r="B10" i="11" s="1"/>
  <c r="B11" i="11" s="1"/>
  <c r="B12" i="11" s="1"/>
  <c r="B13" i="11" s="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B35" i="11" s="1"/>
  <c r="H4" i="11"/>
  <c r="F6" i="11" l="1"/>
  <c r="H6" i="11" s="1"/>
  <c r="C46" i="9" l="1"/>
  <c r="C50" i="9" s="1"/>
  <c r="D16" i="9" s="1"/>
  <c r="B6" i="8"/>
  <c r="D28" i="9" l="1"/>
  <c r="D17" i="11"/>
  <c r="F17" i="11" s="1"/>
  <c r="H17" i="11" s="1"/>
  <c r="G18" i="3"/>
  <c r="G16" i="3"/>
  <c r="D37" i="9" l="1"/>
  <c r="D29" i="11"/>
  <c r="F29" i="11" s="1"/>
  <c r="H29" i="11" s="1"/>
  <c r="H37" i="11" s="1"/>
  <c r="D2" i="4"/>
  <c r="E2" i="4" s="1"/>
  <c r="H8" i="3"/>
  <c r="B8" i="3" l="1"/>
  <c r="C8" i="3"/>
  <c r="D3" i="4"/>
  <c r="H7" i="3"/>
  <c r="H6" i="3"/>
  <c r="D7" i="3"/>
  <c r="L7" i="3" s="1"/>
  <c r="D6" i="3"/>
  <c r="L6" i="3" s="1"/>
  <c r="C10" i="3" l="1"/>
  <c r="B10" i="3"/>
  <c r="D8" i="3"/>
  <c r="I6" i="3"/>
  <c r="K6" i="3" s="1"/>
  <c r="I7" i="3"/>
  <c r="K7" i="3" s="1"/>
  <c r="L8" i="3" l="1"/>
  <c r="I8" i="3"/>
  <c r="K8" i="3" s="1"/>
  <c r="C3" i="9"/>
  <c r="C4" i="9" s="1"/>
  <c r="C5" i="9" s="1"/>
  <c r="C6" i="9" s="1"/>
  <c r="C7" i="9" s="1"/>
  <c r="C8" i="9" s="1"/>
  <c r="C9" i="9" s="1"/>
  <c r="C10" i="9" s="1"/>
  <c r="C11" i="9" s="1"/>
  <c r="C12" i="9" s="1"/>
  <c r="C13" i="9" s="1"/>
  <c r="C14" i="9" s="1"/>
  <c r="C15" i="9" s="1"/>
  <c r="C16" i="9" s="1"/>
  <c r="C17" i="9" s="1"/>
  <c r="C18" i="9" s="1"/>
  <c r="C19" i="9" s="1"/>
  <c r="C20" i="9" s="1"/>
  <c r="C21" i="9" s="1"/>
  <c r="C22" i="9" s="1"/>
  <c r="C23" i="9" s="1"/>
  <c r="C24" i="9" s="1"/>
  <c r="C25" i="9" s="1"/>
  <c r="C26" i="9" s="1"/>
  <c r="C27" i="9" s="1"/>
  <c r="C28" i="9" s="1"/>
  <c r="C29" i="9" s="1"/>
  <c r="C30" i="9" s="1"/>
  <c r="C31" i="9" s="1"/>
  <c r="C32" i="9" s="1"/>
  <c r="C33" i="9" s="1"/>
  <c r="C34" i="9" s="1"/>
  <c r="C35" i="9" s="1"/>
  <c r="C36" i="9" s="1"/>
  <c r="C37" i="9" s="1"/>
  <c r="C38" i="9" s="1"/>
  <c r="C39" i="9" s="1"/>
  <c r="C40" i="9" s="1"/>
  <c r="C41" i="9" s="1"/>
  <c r="C42" i="9" s="1"/>
  <c r="C43" i="9" s="1"/>
  <c r="C44" i="9" s="1"/>
  <c r="H10" i="3" l="1"/>
  <c r="H12" i="3"/>
  <c r="H15" i="3"/>
  <c r="H17" i="3"/>
  <c r="D15" i="3" l="1"/>
  <c r="I15" i="3" l="1"/>
  <c r="K15" i="3" s="1"/>
  <c r="L15" i="3"/>
  <c r="D17" i="3"/>
  <c r="D4" i="4"/>
  <c r="I17" i="3" l="1"/>
  <c r="K17" i="3" s="1"/>
  <c r="L17" i="3"/>
  <c r="B12" i="3"/>
  <c r="C12" i="3"/>
  <c r="C5" i="2"/>
  <c r="D5" i="2"/>
  <c r="D12" i="3" l="1"/>
  <c r="D10" i="3"/>
  <c r="L10" i="3" l="1"/>
  <c r="L12" i="3"/>
  <c r="I10" i="3"/>
  <c r="K10" i="3" s="1"/>
  <c r="I12" i="3"/>
  <c r="K12" i="3" s="1"/>
  <c r="K3" i="3" l="1"/>
  <c r="C33" i="11" s="1"/>
  <c r="E33" i="11" s="1"/>
  <c r="G33" i="11" s="1"/>
  <c r="C21" i="11" l="1"/>
  <c r="E21" i="11" s="1"/>
  <c r="G21" i="11" s="1"/>
  <c r="C9" i="11"/>
  <c r="E9" i="11" s="1"/>
  <c r="G9" i="11" s="1"/>
  <c r="C34" i="11"/>
  <c r="E34" i="11" s="1"/>
  <c r="G34" i="11" s="1"/>
  <c r="C32" i="11"/>
  <c r="E32" i="11" s="1"/>
  <c r="G32" i="11" s="1"/>
  <c r="C25" i="11"/>
  <c r="E25" i="11" s="1"/>
  <c r="G25" i="11" s="1"/>
  <c r="C27" i="11"/>
  <c r="E27" i="11" s="1"/>
  <c r="G27" i="11" s="1"/>
  <c r="C30" i="11"/>
  <c r="E30" i="11" s="1"/>
  <c r="G30" i="11" s="1"/>
  <c r="C24" i="11"/>
  <c r="E24" i="11" s="1"/>
  <c r="G24" i="11" s="1"/>
  <c r="C28" i="11"/>
  <c r="E28" i="11" s="1"/>
  <c r="G28" i="11" s="1"/>
  <c r="C12" i="11"/>
  <c r="E12" i="11" s="1"/>
  <c r="G12" i="11" s="1"/>
  <c r="C8" i="11"/>
  <c r="E8" i="11" s="1"/>
  <c r="G8" i="11" s="1"/>
  <c r="C35" i="11"/>
  <c r="E35" i="11" s="1"/>
  <c r="G35" i="11" s="1"/>
  <c r="C31" i="11"/>
  <c r="E31" i="11" s="1"/>
  <c r="G31" i="11" s="1"/>
  <c r="C13" i="11"/>
  <c r="E13" i="11" s="1"/>
  <c r="G13" i="11" s="1"/>
  <c r="C23" i="11"/>
  <c r="E23" i="11" s="1"/>
  <c r="G23" i="11" s="1"/>
  <c r="C11" i="11"/>
  <c r="E11" i="11" s="1"/>
  <c r="G11" i="11" s="1"/>
  <c r="C29" i="11"/>
  <c r="E29" i="11" s="1"/>
  <c r="G29" i="11" s="1"/>
  <c r="C6" i="11"/>
  <c r="E6" i="11" s="1"/>
  <c r="G6" i="11" s="1"/>
  <c r="C16" i="11"/>
  <c r="E16" i="11" s="1"/>
  <c r="G16" i="11" s="1"/>
  <c r="C14" i="11"/>
  <c r="E14" i="11" s="1"/>
  <c r="G14" i="11" s="1"/>
  <c r="C19" i="11"/>
  <c r="E19" i="11" s="1"/>
  <c r="G19" i="11" s="1"/>
  <c r="C20" i="11"/>
  <c r="E20" i="11" s="1"/>
  <c r="G20" i="11" s="1"/>
  <c r="C15" i="11"/>
  <c r="E15" i="11" s="1"/>
  <c r="G15" i="11" s="1"/>
  <c r="C22" i="11"/>
  <c r="E22" i="11" s="1"/>
  <c r="G22" i="11" s="1"/>
  <c r="C17" i="11"/>
  <c r="E17" i="11" s="1"/>
  <c r="G17" i="11" s="1"/>
  <c r="C7" i="11"/>
  <c r="E7" i="11" s="1"/>
  <c r="G7" i="11" s="1"/>
  <c r="C26" i="11"/>
  <c r="E26" i="11" s="1"/>
  <c r="G26" i="11" s="1"/>
  <c r="C10" i="11"/>
  <c r="E10" i="11" s="1"/>
  <c r="G10" i="11" s="1"/>
  <c r="C18" i="11"/>
  <c r="E18" i="11" s="1"/>
  <c r="G18" i="11" s="1"/>
  <c r="G37" i="11" l="1"/>
  <c r="G38" i="11" s="1"/>
</calcChain>
</file>

<file path=xl/sharedStrings.xml><?xml version="1.0" encoding="utf-8"?>
<sst xmlns="http://schemas.openxmlformats.org/spreadsheetml/2006/main" count="434" uniqueCount="238">
  <si>
    <t>Existing</t>
  </si>
  <si>
    <t>Proposed</t>
  </si>
  <si>
    <t>Change (% Change)</t>
  </si>
  <si>
    <t>NOX</t>
  </si>
  <si>
    <t>PM</t>
  </si>
  <si>
    <t>Total</t>
  </si>
  <si>
    <t>Unit Value (Year $)</t>
  </si>
  <si>
    <t>Project Benefit</t>
  </si>
  <si>
    <t>Delay Reduction Benefits</t>
  </si>
  <si>
    <t>Safety Benefits</t>
  </si>
  <si>
    <t>Benefit/ Time</t>
  </si>
  <si>
    <t>Times/ Year</t>
  </si>
  <si>
    <t>Year</t>
  </si>
  <si>
    <t>Calendar Year</t>
  </si>
  <si>
    <t>Benefit Cost Ratio</t>
  </si>
  <si>
    <t>(A)</t>
  </si>
  <si>
    <t>(B)</t>
  </si>
  <si>
    <t>(C)</t>
  </si>
  <si>
    <t>(D)</t>
  </si>
  <si>
    <t>(E)</t>
  </si>
  <si>
    <t>(F)</t>
  </si>
  <si>
    <t>(G)</t>
  </si>
  <si>
    <t>(H)</t>
  </si>
  <si>
    <t>(I)</t>
  </si>
  <si>
    <t>(J)</t>
  </si>
  <si>
    <t>Benefits</t>
  </si>
  <si>
    <t>Costs</t>
  </si>
  <si>
    <t>(C) = (B) - (A), [(B) - (A)]/(A)</t>
  </si>
  <si>
    <t>(A) = Existing Values, calculations shown elsewhere</t>
  </si>
  <si>
    <t>(B) = Proposed Values, calculations shown elsewhere</t>
  </si>
  <si>
    <t>(C) = (A) - (B)</t>
  </si>
  <si>
    <t>(D) = Unit Values, sources in this document</t>
  </si>
  <si>
    <t>(E) = Year of Unit Values, sources in this document</t>
  </si>
  <si>
    <t>(G) = (D) x (F)</t>
  </si>
  <si>
    <t>(H) = (C) x (G)</t>
  </si>
  <si>
    <t>(J) = (H) x (I)</t>
  </si>
  <si>
    <t>(I) = How Many Times the Benefit Can Be Claimed Annually</t>
  </si>
  <si>
    <t>(Crashes/Year)</t>
  </si>
  <si>
    <t>Injury/Fatality Crashes</t>
  </si>
  <si>
    <t>(Hours/Day)</t>
  </si>
  <si>
    <t>NOx  Emissions</t>
  </si>
  <si>
    <t>PM Emissions</t>
  </si>
  <si>
    <t>7% Discounted</t>
  </si>
  <si>
    <t>(D) = Cost Already Include Inflation Contigency</t>
  </si>
  <si>
    <t>(C) = Annual Benefit</t>
  </si>
  <si>
    <t>Calender Year</t>
  </si>
  <si>
    <t>Maintenance</t>
  </si>
  <si>
    <t>Pavement Year</t>
  </si>
  <si>
    <t>BUILD Timeline Year</t>
  </si>
  <si>
    <t>(Miles/Day)</t>
  </si>
  <si>
    <t>Hamilton Road - Bunn to Commerce Improvement</t>
  </si>
  <si>
    <t>Travel Efficiency</t>
  </si>
  <si>
    <t>Total Vehicle Miles</t>
  </si>
  <si>
    <t>Total Vehicle Hours</t>
  </si>
  <si>
    <t>Rhodes Lane</t>
  </si>
  <si>
    <t>Hamilton</t>
  </si>
  <si>
    <t>Annual Project Benefit (2021$)</t>
  </si>
  <si>
    <t>CO2  Emissions</t>
  </si>
  <si>
    <t>(Short Tons/Day)</t>
  </si>
  <si>
    <t>Grams/mile</t>
  </si>
  <si>
    <t>Short Tons/mile</t>
  </si>
  <si>
    <t>CO2</t>
  </si>
  <si>
    <t>https://www.epa.gov/greenvehicles/greenhouse-gas-emissions-typical-passenger-vehicle</t>
  </si>
  <si>
    <t>https://www.bts.gov/content/estimated-national-average-vehicle-emissions-rates-vehicle-vehicle-type-using-gasoline-and</t>
  </si>
  <si>
    <t>(Metric Tons/Day)</t>
  </si>
  <si>
    <t>2021 $</t>
  </si>
  <si>
    <t>GDP Deflator</t>
  </si>
  <si>
    <t>1.8 % Inflation</t>
  </si>
  <si>
    <t>(D) = Construction Costs in 2021 $</t>
  </si>
  <si>
    <t>(F) = Change in GDP Deflator; Source is BUILD BCA Guidance</t>
  </si>
  <si>
    <r>
      <t>(G) = (E)/(1.07</t>
    </r>
    <r>
      <rPr>
        <vertAlign val="superscript"/>
        <sz val="11"/>
        <color theme="1"/>
        <rFont val="Calibri"/>
        <family val="2"/>
        <scheme val="minor"/>
      </rPr>
      <t>(A-1)</t>
    </r>
    <r>
      <rPr>
        <sz val="11"/>
        <color theme="1"/>
        <rFont val="Calibri"/>
        <family val="2"/>
        <scheme val="minor"/>
      </rPr>
      <t>)</t>
    </r>
  </si>
  <si>
    <r>
      <t>(H) = (F)/(1.07</t>
    </r>
    <r>
      <rPr>
        <vertAlign val="superscript"/>
        <sz val="11"/>
        <color theme="1"/>
        <rFont val="Calibri"/>
        <family val="2"/>
        <scheme val="minor"/>
      </rPr>
      <t>(A-1)</t>
    </r>
    <r>
      <rPr>
        <sz val="11"/>
        <color theme="1"/>
        <rFont val="Calibri"/>
        <family val="2"/>
        <scheme val="minor"/>
      </rPr>
      <t>)</t>
    </r>
  </si>
  <si>
    <t>Benefit Cost Ratio = Total (G)/Total (H)</t>
  </si>
  <si>
    <t>Residual Life</t>
  </si>
  <si>
    <t>Useful Service Life = 12 years for maintenance</t>
  </si>
  <si>
    <t>Useful Service Life = 30 years for initial Construction</t>
  </si>
  <si>
    <t xml:space="preserve">Pollution Type </t>
  </si>
  <si>
    <t>-</t>
  </si>
  <si>
    <r>
      <t>(E) = (C) x 1.018</t>
    </r>
    <r>
      <rPr>
        <vertAlign val="superscript"/>
        <sz val="11"/>
        <color theme="1"/>
        <rFont val="Calibri"/>
        <family val="2"/>
        <scheme val="minor"/>
      </rPr>
      <t>(A-1)</t>
    </r>
    <r>
      <rPr>
        <sz val="11"/>
        <color theme="1"/>
        <rFont val="Calibri"/>
        <family val="2"/>
        <scheme val="minor"/>
      </rPr>
      <t>, total annual benefit with a 1.8% annual inflation</t>
    </r>
  </si>
  <si>
    <t xml:space="preserve">Source:  </t>
  </si>
  <si>
    <t>https://www.transportation.gov/sites/dot.gov/files/2020-01/benefit-cost-analysis-guidance-2020_0.pdf</t>
  </si>
  <si>
    <t>Unit Value (2022 $)</t>
  </si>
  <si>
    <t>Traffic Signals</t>
  </si>
  <si>
    <t>Storm Sewer</t>
  </si>
  <si>
    <t>Water Main</t>
  </si>
  <si>
    <t>Roadway</t>
  </si>
  <si>
    <t>Grade Crossing</t>
  </si>
  <si>
    <t>(K)</t>
  </si>
  <si>
    <t>Annual Project Benefit</t>
  </si>
  <si>
    <t>Miles</t>
  </si>
  <si>
    <t>Hours</t>
  </si>
  <si>
    <t>Metric Tons</t>
  </si>
  <si>
    <t>Short Tons</t>
  </si>
  <si>
    <t>Crashes</t>
  </si>
  <si>
    <t>(K) = (C) x (I)</t>
  </si>
  <si>
    <t>Property Damage Only Crashes</t>
  </si>
  <si>
    <t>(D) = Total Delay from Citywide Traffic Demand Model in Cube</t>
  </si>
  <si>
    <t>(E) = Total Vehicles from Citywide Traffic Demand Model in Cube</t>
  </si>
  <si>
    <t>Hamilton Crossing - Proposed</t>
  </si>
  <si>
    <t>Morrissey Crossing - Proposed</t>
  </si>
  <si>
    <t>Morrissey Crossing - Existing</t>
  </si>
  <si>
    <t>ADT 2024</t>
  </si>
  <si>
    <t>ADT 2035</t>
  </si>
  <si>
    <t>Gates, Urban</t>
  </si>
  <si>
    <t>Flashing Lights, Urban</t>
  </si>
  <si>
    <t>Expected Crash Frequency</t>
  </si>
  <si>
    <t>Trains/Day</t>
  </si>
  <si>
    <t>Factor</t>
  </si>
  <si>
    <t>Reduced Crashes/Year</t>
  </si>
  <si>
    <t>Total Expected Crashes</t>
  </si>
  <si>
    <t>A x B x T</t>
  </si>
  <si>
    <t>T</t>
  </si>
  <si>
    <t>B</t>
  </si>
  <si>
    <t>Components</t>
  </si>
  <si>
    <t>A</t>
  </si>
  <si>
    <t>ADT 20</t>
  </si>
  <si>
    <t>The following assumptions were made:</t>
  </si>
  <si>
    <t>PDO</t>
  </si>
  <si>
    <t>Injury</t>
  </si>
  <si>
    <t>FYA</t>
  </si>
  <si>
    <t>P/P</t>
  </si>
  <si>
    <t>Intersection - Morrissey</t>
  </si>
  <si>
    <t>1 per lane</t>
  </si>
  <si>
    <t>1 Signal Head</t>
  </si>
  <si>
    <t>Roadway Segment</t>
  </si>
  <si>
    <t>Signal</t>
  </si>
  <si>
    <t>Stop Control</t>
  </si>
  <si>
    <t>Intersection - Bunn</t>
  </si>
  <si>
    <t>Curb and Gutter</t>
  </si>
  <si>
    <t>No Shoulder</t>
  </si>
  <si>
    <t>Roadside Element</t>
  </si>
  <si>
    <t>TWLTL</t>
  </si>
  <si>
    <t>Two-Lanes</t>
  </si>
  <si>
    <t>Reduced Crashes</t>
  </si>
  <si>
    <t>Remaining Crashes</t>
  </si>
  <si>
    <t>CMFs Applied</t>
  </si>
  <si>
    <t>Annual Crashes</t>
  </si>
  <si>
    <t>CMF</t>
  </si>
  <si>
    <t>New Hamilton Rd</t>
  </si>
  <si>
    <t>Rhodes</t>
  </si>
  <si>
    <t>Condition</t>
  </si>
  <si>
    <t>PDO 2011</t>
  </si>
  <si>
    <t>PDO 2010</t>
  </si>
  <si>
    <t>PDO 2009</t>
  </si>
  <si>
    <t>No</t>
  </si>
  <si>
    <t>Failing to reduce speed to avoid crash</t>
  </si>
  <si>
    <t>Wet</t>
  </si>
  <si>
    <t>Daylight</t>
  </si>
  <si>
    <t>Clear</t>
  </si>
  <si>
    <t>Bloomington</t>
  </si>
  <si>
    <t xml:space="preserve">McLean              </t>
  </si>
  <si>
    <t>City Streets Urban</t>
  </si>
  <si>
    <t>Local</t>
  </si>
  <si>
    <t>11-Rear end</t>
  </si>
  <si>
    <t>C-Injury reported, not evident crash</t>
  </si>
  <si>
    <t>BC</t>
  </si>
  <si>
    <t>Dry</t>
  </si>
  <si>
    <t>A-Incapacitating injury crash</t>
  </si>
  <si>
    <t>KA</t>
  </si>
  <si>
    <t>Angle</t>
  </si>
  <si>
    <t>Turning</t>
  </si>
  <si>
    <t>Rear End</t>
  </si>
  <si>
    <t>Sideswipe Same</t>
  </si>
  <si>
    <t>Fixed Object</t>
  </si>
  <si>
    <t>C</t>
  </si>
  <si>
    <t>Yes</t>
  </si>
  <si>
    <t>Failing to yield right-of-way</t>
  </si>
  <si>
    <t>10-Turning</t>
  </si>
  <si>
    <t>0-Property damage crash</t>
  </si>
  <si>
    <t>Weather</t>
  </si>
  <si>
    <t>Ice</t>
  </si>
  <si>
    <t>Snow</t>
  </si>
  <si>
    <t>Physical condition of driver</t>
  </si>
  <si>
    <t>Darkness</t>
  </si>
  <si>
    <t>Rain</t>
  </si>
  <si>
    <t>5-Overturned</t>
  </si>
  <si>
    <t>B-Non-incapacitating injury crash</t>
  </si>
  <si>
    <r>
      <t>Table 4-43:  Estimated U.S. Average Vehicle Emissions Rates per Vehicle by Vehicle Type using Gasoline and Diesel</t>
    </r>
    <r>
      <rPr>
        <sz val="12"/>
        <rFont val="Arial"/>
        <family val="2"/>
      </rPr>
      <t xml:space="preserve"> </t>
    </r>
    <r>
      <rPr>
        <b/>
        <sz val="12"/>
        <rFont val="Arial"/>
        <family val="2"/>
      </rPr>
      <t>(Grams per mile)</t>
    </r>
  </si>
  <si>
    <t>GASOLINE</t>
  </si>
  <si>
    <t>Light-duty vehicles</t>
  </si>
  <si>
    <t>Total HC</t>
  </si>
  <si>
    <t>Exhaust CO</t>
  </si>
  <si>
    <t>Exhaust NOx</t>
  </si>
  <si>
    <t>Exhaust PM2.5</t>
  </si>
  <si>
    <t>Brakewear PM2.5</t>
  </si>
  <si>
    <t>Tirewear PM2.5</t>
  </si>
  <si>
    <t>Light-duty trucks</t>
  </si>
  <si>
    <t>Heavy-duty vehicles</t>
  </si>
  <si>
    <t>Motorcycles</t>
  </si>
  <si>
    <t>DIESEL</t>
  </si>
  <si>
    <t>Average Emissions Per Vehicle, Gasoline and Diesel Fleet</t>
  </si>
  <si>
    <r>
      <t xml:space="preserve">KEY: </t>
    </r>
    <r>
      <rPr>
        <sz val="9"/>
        <rFont val="Arial"/>
        <family val="2"/>
      </rPr>
      <t>CO = carbon monoxide; HC = hydrocarbons; NOx = nitrogen oxides; PM2.5 = particulate matter with diameter &lt;= 2.5 micrometers.</t>
    </r>
  </si>
  <si>
    <t>NOTES</t>
  </si>
  <si>
    <t xml:space="preserve">Estimates are by calendar year.  Vehicles types are defined as follows: light-duty vehicles (passenger cars); light-duty trucks (two axle, four tire); heavy-duty vehicles (trucks with more than two axles or four tires); motorcycle (highway only). </t>
  </si>
  <si>
    <t>Emissions factors are averages based on the national average age distributions, vehicle activity (speeds, operating modes, vehicle-miles traveled fractions, starts and idling), temperatures, inspection/maintenance and antitampering programs, and average gasoline fuel properties in that calendar year. Total HC includes exhaust and evaporative emissions.</t>
  </si>
  <si>
    <t>Average emissions per vehicle rates assume a fleet comprised exclusively of gasoline and diesel vehicles.  Gasoline-electric hybrids are accounted for in the values for gasoline vehicles.</t>
  </si>
  <si>
    <t>This table was generated using MOVES2014a, the U.S. Environmental Protection Agency's (EPA) mobile source emissions factor model. More information on MOVES is available at /www.epa.gov/moves.</t>
  </si>
  <si>
    <t>Data for this update are based on new categories and are not comparable to previous releases. Changes retroactively applied to the data for previous years to provide consistent comparisons over time.</t>
  </si>
  <si>
    <t>SOURCE</t>
  </si>
  <si>
    <t>U.S. Environmental Protection Agency, Office of Transportation and Air Quality, personal communication, Apr. 6, 2018.</t>
  </si>
  <si>
    <t>(See Emissions Sheet)</t>
  </si>
  <si>
    <t>Source</t>
  </si>
  <si>
    <t xml:space="preserve">(A) Source: </t>
  </si>
  <si>
    <t>(B) Source:</t>
  </si>
  <si>
    <r>
      <rPr>
        <sz val="11"/>
        <color theme="1"/>
        <rFont val="Symbol"/>
        <family val="1"/>
        <charset val="2"/>
      </rPr>
      <t>·</t>
    </r>
    <r>
      <rPr>
        <sz val="11"/>
        <color theme="1"/>
        <rFont val="Calibri"/>
        <family val="2"/>
        <scheme val="minor"/>
      </rPr>
      <t xml:space="preserve"> Hamilton Road will have curb and gutter which will reduce crashes from the no shouldered Rhodes Road. A CMF from the clearinghouse was applied </t>
    </r>
    <r>
      <rPr>
        <u/>
        <sz val="11"/>
        <color theme="10"/>
        <rFont val="Calibri"/>
        <family val="2"/>
        <scheme val="minor"/>
      </rPr>
      <t>(http://www.cmfclearinghouse.org/detail.cfm?facid=2375)</t>
    </r>
  </si>
  <si>
    <r>
      <t xml:space="preserve">· </t>
    </r>
    <r>
      <rPr>
        <sz val="11"/>
        <color theme="1"/>
        <rFont val="Calibri"/>
        <family val="2"/>
        <scheme val="minor"/>
      </rPr>
      <t>The intersection at Bunn and Hamilton would become signalized</t>
    </r>
  </si>
  <si>
    <r>
      <t xml:space="preserve">· </t>
    </r>
    <r>
      <rPr>
        <sz val="11"/>
        <color theme="1"/>
        <rFont val="Calibri"/>
        <family val="2"/>
        <scheme val="minor"/>
      </rPr>
      <t>The Morrissey Rail crossing and Hamilton Road crossing would both have gates installed</t>
    </r>
  </si>
  <si>
    <r>
      <t>·</t>
    </r>
    <r>
      <rPr>
        <sz val="7"/>
        <color theme="1"/>
        <rFont val="Times New Roman"/>
        <family val="1"/>
      </rPr>
      <t xml:space="preserve"> </t>
    </r>
    <r>
      <rPr>
        <sz val="11"/>
        <color theme="1"/>
        <rFont val="Calibri"/>
        <family val="2"/>
        <scheme val="minor"/>
      </rPr>
      <t>Traffic volumes for the proposed Morrissey Crossing and Hamilton Crossing were pulled from the 2035 TDM and reduced backward at 3% to the 10 year ADT required for the IDOT BLR Expected Crash Frequency Equation</t>
    </r>
  </si>
  <si>
    <r>
      <t xml:space="preserve">· </t>
    </r>
    <r>
      <rPr>
        <sz val="11"/>
        <color theme="1"/>
        <rFont val="Calibri"/>
        <family val="2"/>
        <scheme val="minor"/>
      </rPr>
      <t>Expected Rail Crossing Crashes would result in an injury or fatality.</t>
    </r>
  </si>
  <si>
    <t>Metric Tons/mile</t>
  </si>
  <si>
    <t>/ sq. yd.</t>
  </si>
  <si>
    <t>/ ton</t>
  </si>
  <si>
    <t>tons</t>
  </si>
  <si>
    <t>sq. yd.</t>
  </si>
  <si>
    <t>Class B Patches Unit Cost</t>
  </si>
  <si>
    <t>Pavement Amount</t>
  </si>
  <si>
    <t>Surface Removal, 2.5"</t>
  </si>
  <si>
    <t>2.5" HMA Overlay</t>
  </si>
  <si>
    <t>CMF 7982</t>
  </si>
  <si>
    <t>CMF 2375</t>
  </si>
  <si>
    <r>
      <t xml:space="preserve">· </t>
    </r>
    <r>
      <rPr>
        <sz val="11"/>
        <color theme="1"/>
        <rFont val="Calibri"/>
        <family val="2"/>
        <scheme val="minor"/>
      </rPr>
      <t>The existing crashes at Rhodes and Morrissey were reduced assuming the traffic would move to the signalized intersection at Hamilton and Morrissey. A CMF from the Highway Safety Manual for switching from a stop controlled intersection to a signal was applied.</t>
    </r>
  </si>
  <si>
    <r>
      <t>·</t>
    </r>
    <r>
      <rPr>
        <sz val="7"/>
        <color theme="1"/>
        <rFont val="Times New Roman"/>
        <family val="1"/>
      </rPr>
      <t> </t>
    </r>
    <r>
      <rPr>
        <sz val="11"/>
        <color theme="1"/>
        <rFont val="Calibri"/>
        <family val="2"/>
        <scheme val="minor"/>
      </rPr>
      <t>Cost of Crashes from Highway Safety Manual Appendix</t>
    </r>
  </si>
  <si>
    <t>CMF 4176</t>
  </si>
  <si>
    <t>CMF 1414</t>
  </si>
  <si>
    <r>
      <t>·</t>
    </r>
    <r>
      <rPr>
        <sz val="7"/>
        <color theme="1"/>
        <rFont val="Times New Roman"/>
        <family val="1"/>
      </rPr>
      <t> </t>
    </r>
    <r>
      <rPr>
        <sz val="11"/>
        <color theme="1"/>
        <rFont val="Calibri"/>
        <family val="2"/>
        <scheme val="minor"/>
      </rPr>
      <t>CMFs are from the Crash Modification Factors Clearinghouse</t>
    </r>
  </si>
  <si>
    <t>Intersection Morrissey at Hamilton</t>
  </si>
  <si>
    <t>Intersection Bunn at Hamilton</t>
  </si>
  <si>
    <t>N/A</t>
  </si>
  <si>
    <t>3-Year Average (2009-2011)</t>
  </si>
  <si>
    <t>3-Year Average (Jun 2011 to Feb 2011)</t>
  </si>
  <si>
    <t>CMF 9418</t>
  </si>
  <si>
    <r>
      <rPr>
        <sz val="11"/>
        <color theme="1"/>
        <rFont val="Symbol"/>
        <family val="1"/>
        <charset val="2"/>
      </rPr>
      <t xml:space="preserve">· </t>
    </r>
    <r>
      <rPr>
        <sz val="11"/>
        <color theme="1"/>
        <rFont val="Calibri"/>
        <family val="2"/>
        <scheme val="minor"/>
      </rPr>
      <t>An HSM-level crash analysis was completed and done with information provided by the Illinois Department of Transportation and using the CMF from the HSM and Clearing House</t>
    </r>
  </si>
  <si>
    <r>
      <rPr>
        <sz val="11"/>
        <color theme="1"/>
        <rFont val="Symbol"/>
        <family val="1"/>
        <charset val="2"/>
      </rPr>
      <t xml:space="preserve">· </t>
    </r>
    <r>
      <rPr>
        <sz val="11"/>
        <color theme="1"/>
        <rFont val="Calibri"/>
        <family val="2"/>
        <scheme val="minor"/>
      </rPr>
      <t>The crash data is from 2009 to 2014, but, since the road network has not changed, the crash reductions would still apply, since we are using the CMF</t>
    </r>
  </si>
  <si>
    <r>
      <rPr>
        <sz val="11"/>
        <color theme="1"/>
        <rFont val="Symbol"/>
        <family val="1"/>
        <charset val="2"/>
      </rPr>
      <t>·</t>
    </r>
    <r>
      <rPr>
        <sz val="11"/>
        <color theme="1"/>
        <rFont val="Calibri"/>
        <family val="2"/>
        <scheme val="minor"/>
      </rPr>
      <t xml:space="preserve"> No crack filling</t>
    </r>
  </si>
  <si>
    <r>
      <rPr>
        <sz val="11"/>
        <color theme="1"/>
        <rFont val="Symbol"/>
        <family val="1"/>
        <charset val="2"/>
      </rPr>
      <t xml:space="preserve">· </t>
    </r>
    <r>
      <rPr>
        <sz val="11"/>
        <color theme="1"/>
        <rFont val="Calibri"/>
        <family val="2"/>
        <scheme val="minor"/>
      </rPr>
      <t>5% patching done with Mill/Fill</t>
    </r>
  </si>
  <si>
    <r>
      <rPr>
        <sz val="11"/>
        <color theme="1"/>
        <rFont val="Symbol"/>
        <family val="1"/>
        <charset val="2"/>
      </rPr>
      <t>·</t>
    </r>
    <r>
      <rPr>
        <sz val="11"/>
        <color theme="1"/>
        <rFont val="Calibri"/>
        <family val="2"/>
        <scheme val="minor"/>
      </rPr>
      <t xml:space="preserve"> Mill/Fill 12 year @ $140/ton</t>
    </r>
  </si>
  <si>
    <r>
      <rPr>
        <sz val="11"/>
        <color theme="1"/>
        <rFont val="Symbol"/>
        <family val="1"/>
        <charset val="2"/>
      </rPr>
      <t>·</t>
    </r>
    <r>
      <rPr>
        <sz val="11"/>
        <color theme="1"/>
        <rFont val="Calibri"/>
        <family val="2"/>
        <scheme val="minor"/>
      </rPr>
      <t xml:space="preserve"> Do NOT use BUILD to Pay for Land Acq</t>
    </r>
  </si>
  <si>
    <t>Annual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</si>
</sst>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0000000000000000"/>
    <numFmt numFmtId="166" formatCode="0_);\(0\)"/>
    <numFmt numFmtId="167" formatCode="&quot;$&quot;#,##0.00"/>
    <numFmt numFmtId="168" formatCode="0.000"/>
    <numFmt numFmtId="169" formatCode="_(&quot;$&quot;* #,##0_);_(&quot;$&quot;* \(#,##0\);_(&quot;$&quot;* &quot;-&quot;??_);_(@_)"/>
    <numFmt numFmtId="170" formatCode="0.00000"/>
    <numFmt numFmtId="171" formatCode="&quot;$&quot;#,##0.00000_);\(&quot;$&quot;#,##0.00000\)"/>
    <numFmt numFmtId="172" formatCode="#,##0.00000"/>
    <numFmt numFmtId="173" formatCode="0.000000000000000"/>
    <numFmt numFmtId="174" formatCode="&quot;$&quot;#,##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1"/>
      <color theme="3"/>
      <name val="Calibri"/>
      <family val="2"/>
      <scheme val="minor"/>
    </font>
    <font>
      <vertAlign val="superscript"/>
      <sz val="11"/>
      <color theme="1"/>
      <name val="Calibri"/>
      <family val="2"/>
      <scheme val="minor"/>
    </font>
    <font>
      <i/>
      <sz val="10"/>
      <color theme="1"/>
      <name val="Calibri"/>
      <family val="2"/>
      <scheme val="minor"/>
    </font>
    <font>
      <u/>
      <sz val="11"/>
      <color theme="10"/>
      <name val="Calibri"/>
      <family val="2"/>
      <scheme val="minor"/>
    </font>
    <font>
      <b/>
      <sz val="11"/>
      <color rgb="FF000000"/>
      <name val="Calibri"/>
      <family val="2"/>
      <scheme val="minor"/>
    </font>
    <font>
      <sz val="11"/>
      <color rgb="FF000000"/>
      <name val="Calibri"/>
      <family val="2"/>
      <scheme val="minor"/>
    </font>
    <font>
      <sz val="11"/>
      <color theme="1"/>
      <name val="Symbol"/>
      <family val="1"/>
      <charset val="2"/>
    </font>
    <font>
      <sz val="7"/>
      <color theme="1"/>
      <name val="Times New Roman"/>
      <family val="1"/>
    </font>
    <font>
      <sz val="11"/>
      <name val="Calibri"/>
      <family val="2"/>
      <scheme val="minor"/>
    </font>
    <font>
      <sz val="11"/>
      <name val="Arial Narrow"/>
      <family val="2"/>
    </font>
    <font>
      <sz val="10"/>
      <name val="Arial"/>
    </font>
    <font>
      <b/>
      <sz val="12"/>
      <name val="Arial"/>
      <family val="2"/>
    </font>
    <font>
      <sz val="12"/>
      <name val="Arial"/>
      <family val="2"/>
    </font>
    <font>
      <sz val="10"/>
      <name val="Arial"/>
      <family val="2"/>
    </font>
    <font>
      <b/>
      <sz val="11"/>
      <name val="Arial Narrow"/>
      <family val="2"/>
    </font>
    <font>
      <i/>
      <sz val="11"/>
      <name val="Arial Narrow"/>
      <family val="2"/>
    </font>
    <font>
      <b/>
      <i/>
      <sz val="11"/>
      <name val="Arial Narrow"/>
      <family val="2"/>
    </font>
    <font>
      <b/>
      <sz val="9"/>
      <name val="Arial"/>
      <family val="2"/>
    </font>
    <font>
      <sz val="9"/>
      <name val="Arial"/>
      <family val="2"/>
    </font>
    <font>
      <b/>
      <sz val="11"/>
      <color theme="3"/>
      <name val="Arial Narrow"/>
      <family val="2"/>
    </font>
    <font>
      <sz val="11"/>
      <color theme="3"/>
      <name val="Calibri"/>
      <family val="2"/>
      <scheme val="minor"/>
    </font>
    <font>
      <b/>
      <sz val="11"/>
      <color theme="9" tint="-0.499984740745262"/>
      <name val="Calibri"/>
      <family val="2"/>
      <scheme val="minor"/>
    </font>
    <font>
      <b/>
      <u/>
      <sz val="11"/>
      <color theme="1"/>
      <name val="Calibri"/>
      <family val="2"/>
      <scheme val="minor"/>
    </font>
    <font>
      <u/>
      <sz val="11"/>
      <color theme="1"/>
      <name val="Calibri"/>
      <family val="2"/>
      <scheme val="minor"/>
    </font>
    <font>
      <b/>
      <sz val="11"/>
      <color theme="1" tint="4.9989318521683403E-2"/>
      <name val="Calibri"/>
      <family val="2"/>
      <scheme val="minor"/>
    </font>
  </fonts>
  <fills count="5">
    <fill>
      <patternFill patternType="none"/>
    </fill>
    <fill>
      <patternFill patternType="gray125"/>
    </fill>
    <fill>
      <patternFill patternType="solid">
        <fgColor theme="4" tint="0.79998168889431442"/>
        <bgColor indexed="65"/>
      </patternFill>
    </fill>
    <fill>
      <patternFill patternType="solid">
        <fgColor theme="4" tint="0.79998168889431442"/>
        <bgColor indexed="64"/>
      </patternFill>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bottom style="medium">
        <color theme="4" tint="0.39997558519241921"/>
      </bottom>
      <diagonal/>
    </border>
    <border>
      <left style="thin">
        <color auto="1"/>
      </left>
      <right style="thin">
        <color auto="1"/>
      </right>
      <top/>
      <bottom/>
      <diagonal/>
    </border>
    <border>
      <left style="thin">
        <color auto="1"/>
      </left>
      <right style="thin">
        <color auto="1"/>
      </right>
      <top/>
      <bottom style="medium">
        <color theme="4" tint="0.3999755851924192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theme="4" tint="0.39997558519241921"/>
      </bottom>
      <diagonal/>
    </border>
    <border>
      <left/>
      <right style="thin">
        <color indexed="64"/>
      </right>
      <top/>
      <bottom/>
      <diagonal/>
    </border>
    <border>
      <left/>
      <right style="thin">
        <color auto="1"/>
      </right>
      <top/>
      <bottom style="medium">
        <color theme="4" tint="0.39997558519241921"/>
      </bottom>
      <diagonal/>
    </border>
    <border>
      <left style="thin">
        <color auto="1"/>
      </left>
      <right/>
      <top style="thin">
        <color indexed="64"/>
      </top>
      <bottom style="medium">
        <color theme="4" tint="0.39997558519241921"/>
      </bottom>
      <diagonal/>
    </border>
    <border>
      <left style="thin">
        <color auto="1"/>
      </left>
      <right/>
      <top/>
      <bottom style="medium">
        <color theme="4" tint="0.39997558519241921"/>
      </bottom>
      <diagonal/>
    </border>
    <border>
      <left style="thin">
        <color auto="1"/>
      </left>
      <right/>
      <top/>
      <bottom/>
      <diagonal/>
    </border>
    <border>
      <left/>
      <right/>
      <top/>
      <bottom style="thin">
        <color indexed="64"/>
      </bottom>
      <diagonal/>
    </border>
    <border>
      <left/>
      <right/>
      <top style="thin">
        <color theme="4"/>
      </top>
      <bottom style="double">
        <color theme="4"/>
      </bottom>
      <diagonal/>
    </border>
    <border>
      <left/>
      <right style="thin">
        <color indexed="64"/>
      </right>
      <top style="thin">
        <color theme="4"/>
      </top>
      <bottom style="double">
        <color theme="4"/>
      </bottom>
      <diagonal/>
    </border>
    <border>
      <left style="thin">
        <color indexed="64"/>
      </left>
      <right/>
      <top style="thin">
        <color theme="4"/>
      </top>
      <bottom style="double">
        <color theme="4"/>
      </bottom>
      <diagonal/>
    </border>
    <border>
      <left style="thin">
        <color indexed="64"/>
      </left>
      <right/>
      <top style="double">
        <color theme="4"/>
      </top>
      <bottom style="thin">
        <color indexed="64"/>
      </bottom>
      <diagonal/>
    </border>
    <border>
      <left/>
      <right style="thin">
        <color indexed="64"/>
      </right>
      <top style="double">
        <color theme="4"/>
      </top>
      <bottom style="thin">
        <color indexed="64"/>
      </bottom>
      <diagonal/>
    </border>
    <border>
      <left style="thin">
        <color indexed="64"/>
      </left>
      <right style="thin">
        <color indexed="64"/>
      </right>
      <top style="medium">
        <color theme="4" tint="0.39997558519241921"/>
      </top>
      <bottom style="thin">
        <color indexed="64"/>
      </bottom>
      <diagonal/>
    </border>
    <border>
      <left style="thin">
        <color indexed="64"/>
      </left>
      <right style="thin">
        <color indexed="64"/>
      </right>
      <top style="medium">
        <color theme="4" tint="0.39997558519241921"/>
      </top>
      <bottom/>
      <diagonal/>
    </border>
    <border>
      <left style="thin">
        <color auto="1"/>
      </left>
      <right/>
      <top style="medium">
        <color theme="4" tint="0.39997558519241921"/>
      </top>
      <bottom/>
      <diagonal/>
    </border>
    <border>
      <left/>
      <right style="thin">
        <color auto="1"/>
      </right>
      <top style="medium">
        <color theme="4" tint="0.39997558519241921"/>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top/>
      <bottom style="thin">
        <color theme="4"/>
      </bottom>
      <diagonal/>
    </border>
    <border>
      <left/>
      <right style="thin">
        <color indexed="64"/>
      </right>
      <top/>
      <bottom style="thin">
        <color theme="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medium">
        <color theme="4" tint="0.39997558519241921"/>
      </top>
      <bottom style="medium">
        <color theme="4" tint="0.39997558519241921"/>
      </bottom>
      <diagonal/>
    </border>
    <border>
      <left/>
      <right style="thin">
        <color indexed="64"/>
      </right>
      <top style="thin">
        <color indexed="64"/>
      </top>
      <bottom style="thin">
        <color indexed="64"/>
      </bottom>
      <diagonal/>
    </border>
    <border>
      <left/>
      <right style="thin">
        <color indexed="64"/>
      </right>
      <top style="medium">
        <color theme="4" tint="0.39997558519241921"/>
      </top>
      <bottom style="medium">
        <color theme="4" tint="0.3999755851924192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theme="4"/>
      </bottom>
      <diagonal/>
    </border>
    <border>
      <left style="thin">
        <color indexed="64"/>
      </left>
      <right style="medium">
        <color indexed="64"/>
      </right>
      <top style="thin">
        <color indexed="64"/>
      </top>
      <bottom style="medium">
        <color theme="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theme="4"/>
      </bottom>
      <diagonal/>
    </border>
    <border>
      <left style="thin">
        <color indexed="64"/>
      </left>
      <right style="thin">
        <color indexed="64"/>
      </right>
      <top style="thin">
        <color indexed="64"/>
      </top>
      <bottom style="medium">
        <color theme="5"/>
      </bottom>
      <diagonal/>
    </border>
    <border>
      <left style="thin">
        <color indexed="64"/>
      </left>
      <right style="thin">
        <color indexed="64"/>
      </right>
      <top/>
      <bottom style="medium">
        <color theme="5"/>
      </bottom>
      <diagonal/>
    </border>
    <border>
      <left/>
      <right/>
      <top/>
      <bottom style="medium">
        <color theme="5"/>
      </bottom>
      <diagonal/>
    </border>
  </borders>
  <cellStyleXfs count="11">
    <xf numFmtId="0" fontId="0" fillId="0" borderId="0"/>
    <xf numFmtId="44" fontId="1" fillId="0" borderId="0" applyFont="0" applyFill="0" applyBorder="0" applyAlignment="0" applyProtection="0"/>
    <xf numFmtId="0" fontId="3" fillId="0" borderId="2" applyNumberFormat="0" applyFill="0" applyAlignment="0" applyProtection="0"/>
    <xf numFmtId="41" fontId="1" fillId="0" borderId="0" applyFont="0" applyFill="0" applyBorder="0" applyAlignment="0" applyProtection="0"/>
    <xf numFmtId="42" fontId="1" fillId="0" borderId="0" applyFont="0" applyFill="0" applyBorder="0" applyAlignment="0" applyProtection="0"/>
    <xf numFmtId="0" fontId="2" fillId="0" borderId="13" applyNumberFormat="0" applyFill="0" applyAlignment="0" applyProtection="0"/>
    <xf numFmtId="0" fontId="1" fillId="2" borderId="0" applyNumberFormat="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9" fontId="1" fillId="0" borderId="0" applyFont="0" applyFill="0" applyBorder="0" applyAlignment="0" applyProtection="0"/>
    <xf numFmtId="0" fontId="13" fillId="0" borderId="0"/>
  </cellStyleXfs>
  <cellXfs count="277">
    <xf numFmtId="0" fontId="0" fillId="0" borderId="0" xfId="0"/>
    <xf numFmtId="0" fontId="0" fillId="0" borderId="0" xfId="0" applyAlignment="1">
      <alignment horizontal="center"/>
    </xf>
    <xf numFmtId="0" fontId="0" fillId="0" borderId="1" xfId="0" applyBorder="1" applyAlignment="1">
      <alignment horizontal="center"/>
    </xf>
    <xf numFmtId="0" fontId="2" fillId="0" borderId="1" xfId="0" applyFont="1" applyBorder="1" applyAlignment="1">
      <alignment horizontal="center" wrapText="1"/>
    </xf>
    <xf numFmtId="165" fontId="0" fillId="0" borderId="0" xfId="0" applyNumberFormat="1"/>
    <xf numFmtId="0" fontId="0" fillId="0" borderId="0" xfId="0" applyAlignment="1">
      <alignment wrapText="1"/>
    </xf>
    <xf numFmtId="0" fontId="3" fillId="0" borderId="6" xfId="2" applyBorder="1"/>
    <xf numFmtId="0" fontId="3" fillId="0" borderId="4" xfId="2" applyBorder="1" applyAlignment="1">
      <alignment horizontal="left" indent="1"/>
    </xf>
    <xf numFmtId="0" fontId="0" fillId="0" borderId="3" xfId="0" applyBorder="1" applyAlignment="1">
      <alignment horizontal="left" indent="2"/>
    </xf>
    <xf numFmtId="0" fontId="0" fillId="0" borderId="0" xfId="0" applyAlignment="1">
      <alignment horizontal="right"/>
    </xf>
    <xf numFmtId="0" fontId="3" fillId="0" borderId="4" xfId="2" applyBorder="1" applyAlignment="1">
      <alignment horizontal="center" vertical="center"/>
    </xf>
    <xf numFmtId="0" fontId="3" fillId="0" borderId="4" xfId="2" applyBorder="1" applyAlignment="1">
      <alignment horizontal="center" vertical="center" wrapText="1"/>
    </xf>
    <xf numFmtId="7" fontId="3" fillId="0" borderId="4" xfId="2" applyNumberFormat="1" applyBorder="1" applyAlignment="1">
      <alignment horizontal="center" vertical="center" wrapText="1"/>
    </xf>
    <xf numFmtId="0" fontId="3" fillId="0" borderId="8" xfId="2" applyBorder="1" applyAlignment="1">
      <alignment horizontal="center" vertical="center"/>
    </xf>
    <xf numFmtId="0" fontId="3" fillId="0" borderId="9" xfId="2" applyBorder="1" applyAlignment="1">
      <alignment horizontal="center" vertical="center"/>
    </xf>
    <xf numFmtId="0" fontId="3" fillId="0" borderId="10" xfId="2" applyBorder="1" applyAlignment="1">
      <alignment horizontal="center" vertical="center"/>
    </xf>
    <xf numFmtId="0" fontId="0" fillId="0" borderId="12" xfId="0" applyBorder="1" applyAlignment="1">
      <alignment horizontal="right"/>
    </xf>
    <xf numFmtId="0" fontId="3" fillId="0" borderId="6" xfId="2" applyBorder="1" applyAlignment="1">
      <alignment horizontal="left"/>
    </xf>
    <xf numFmtId="0" fontId="3" fillId="0" borderId="8" xfId="2" applyBorder="1" applyAlignment="1">
      <alignment horizontal="center" vertical="center" wrapText="1"/>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0" xfId="0" applyBorder="1"/>
    <xf numFmtId="0" fontId="0" fillId="0" borderId="12" xfId="0" applyBorder="1" applyAlignment="1">
      <alignment horizontal="center"/>
    </xf>
    <xf numFmtId="0" fontId="3" fillId="0" borderId="6" xfId="2" applyBorder="1" applyAlignment="1">
      <alignment horizontal="center"/>
    </xf>
    <xf numFmtId="0" fontId="3" fillId="0" borderId="18" xfId="2" applyBorder="1"/>
    <xf numFmtId="0" fontId="3" fillId="0" borderId="18" xfId="2" applyBorder="1" applyAlignment="1">
      <alignment horizontal="center"/>
    </xf>
    <xf numFmtId="0" fontId="0" fillId="0" borderId="0" xfId="0" applyAlignment="1">
      <alignment horizontal="left"/>
    </xf>
    <xf numFmtId="0" fontId="2" fillId="0" borderId="1" xfId="0" applyFont="1" applyBorder="1" applyAlignment="1">
      <alignment horizontal="center" vertical="center" wrapText="1"/>
    </xf>
    <xf numFmtId="44" fontId="0" fillId="0" borderId="0" xfId="0" applyNumberFormat="1"/>
    <xf numFmtId="0" fontId="2" fillId="0" borderId="1" xfId="0" applyFont="1" applyBorder="1" applyAlignment="1">
      <alignment horizontal="center" vertical="center" textRotation="90" wrapText="1"/>
    </xf>
    <xf numFmtId="0" fontId="5" fillId="0" borderId="3" xfId="0" applyFont="1" applyBorder="1" applyAlignment="1">
      <alignment horizontal="left" indent="4"/>
    </xf>
    <xf numFmtId="0" fontId="3" fillId="0" borderId="4" xfId="2" applyBorder="1" applyAlignment="1">
      <alignment horizontal="right" vertical="center" wrapText="1"/>
    </xf>
    <xf numFmtId="7" fontId="3" fillId="0" borderId="4" xfId="2" applyNumberFormat="1" applyBorder="1" applyAlignment="1">
      <alignment horizontal="right" vertical="center" wrapText="1"/>
    </xf>
    <xf numFmtId="0" fontId="0" fillId="0" borderId="11" xfId="0" applyBorder="1"/>
    <xf numFmtId="0" fontId="3" fillId="0" borderId="2" xfId="2" applyAlignment="1">
      <alignment horizontal="center" vertical="center" wrapText="1"/>
    </xf>
    <xf numFmtId="0" fontId="3" fillId="0" borderId="10" xfId="2" applyBorder="1" applyAlignment="1">
      <alignment horizontal="center" vertical="center" wrapText="1"/>
    </xf>
    <xf numFmtId="0" fontId="0" fillId="0" borderId="11" xfId="0" applyBorder="1" applyAlignment="1">
      <alignment wrapText="1"/>
    </xf>
    <xf numFmtId="44" fontId="0" fillId="0" borderId="0" xfId="1" applyFont="1"/>
    <xf numFmtId="0" fontId="0" fillId="0" borderId="0" xfId="1" applyNumberFormat="1" applyFont="1"/>
    <xf numFmtId="169" fontId="1" fillId="2" borderId="0" xfId="6" applyNumberFormat="1" applyAlignment="1">
      <alignment horizontal="center" vertical="center"/>
    </xf>
    <xf numFmtId="169" fontId="1" fillId="2" borderId="7" xfId="6" applyNumberFormat="1" applyBorder="1" applyAlignment="1">
      <alignment horizontal="center" vertical="center"/>
    </xf>
    <xf numFmtId="169" fontId="0" fillId="0" borderId="0" xfId="0" applyNumberFormat="1" applyAlignment="1">
      <alignment horizontal="center" vertical="center"/>
    </xf>
    <xf numFmtId="169" fontId="0" fillId="0" borderId="7" xfId="0" applyNumberFormat="1" applyBorder="1" applyAlignment="1">
      <alignment horizontal="center" vertical="center"/>
    </xf>
    <xf numFmtId="169" fontId="2" fillId="2" borderId="13" xfId="6" applyNumberFormat="1" applyFont="1" applyBorder="1" applyAlignment="1">
      <alignment horizontal="center" vertical="center"/>
    </xf>
    <xf numFmtId="169" fontId="2" fillId="2" borderId="14" xfId="6" applyNumberFormat="1" applyFont="1" applyBorder="1" applyAlignment="1">
      <alignment horizontal="center" vertical="center"/>
    </xf>
    <xf numFmtId="169" fontId="2" fillId="0" borderId="13" xfId="5" applyNumberFormat="1" applyFont="1" applyAlignment="1">
      <alignment horizontal="center" vertical="center"/>
    </xf>
    <xf numFmtId="169" fontId="2" fillId="0" borderId="14" xfId="5" applyNumberFormat="1" applyFont="1" applyBorder="1" applyAlignment="1">
      <alignment horizontal="center" vertical="center"/>
    </xf>
    <xf numFmtId="169" fontId="1" fillId="2" borderId="16" xfId="6" applyNumberFormat="1" applyBorder="1" applyAlignment="1">
      <alignment horizontal="center" vertical="center"/>
    </xf>
    <xf numFmtId="169" fontId="1" fillId="2" borderId="17" xfId="6" applyNumberFormat="1" applyBorder="1" applyAlignment="1">
      <alignment horizontal="center" vertical="center"/>
    </xf>
    <xf numFmtId="169" fontId="3" fillId="0" borderId="16" xfId="2" applyNumberFormat="1" applyFont="1" applyBorder="1" applyAlignment="1">
      <alignment horizontal="center" vertical="center"/>
    </xf>
    <xf numFmtId="169" fontId="3" fillId="0" borderId="17" xfId="2" applyNumberFormat="1" applyFont="1" applyBorder="1" applyAlignment="1">
      <alignment horizontal="center" vertical="center"/>
    </xf>
    <xf numFmtId="164" fontId="0" fillId="0" borderId="19" xfId="0" applyNumberFormat="1" applyBorder="1" applyAlignment="1">
      <alignment horizontal="center" vertical="center"/>
    </xf>
    <xf numFmtId="0" fontId="0" fillId="0" borderId="3" xfId="0" applyBorder="1" applyAlignment="1">
      <alignment horizontal="center" vertical="center"/>
    </xf>
    <xf numFmtId="7" fontId="0" fillId="0" borderId="19" xfId="0" applyNumberFormat="1" applyBorder="1" applyAlignment="1">
      <alignment horizontal="right" vertical="center"/>
    </xf>
    <xf numFmtId="0" fontId="0" fillId="0" borderId="19" xfId="0" applyBorder="1" applyAlignment="1">
      <alignment horizontal="center" vertical="center"/>
    </xf>
    <xf numFmtId="167" fontId="0" fillId="0" borderId="20" xfId="3" applyNumberFormat="1" applyFont="1" applyBorder="1" applyAlignment="1">
      <alignment horizontal="right" vertical="center"/>
    </xf>
    <xf numFmtId="166" fontId="0" fillId="0" borderId="21" xfId="4" applyNumberFormat="1" applyFont="1" applyBorder="1" applyAlignment="1">
      <alignment horizontal="center" vertical="center"/>
    </xf>
    <xf numFmtId="37" fontId="0" fillId="0" borderId="3" xfId="7" applyNumberFormat="1" applyFont="1" applyBorder="1" applyAlignment="1">
      <alignment horizontal="center" vertical="center"/>
    </xf>
    <xf numFmtId="7" fontId="0" fillId="0" borderId="3" xfId="0" applyNumberFormat="1" applyBorder="1" applyAlignment="1">
      <alignment horizontal="center" vertical="center"/>
    </xf>
    <xf numFmtId="7" fontId="0" fillId="0" borderId="19" xfId="0" applyNumberFormat="1" applyBorder="1" applyAlignment="1">
      <alignment horizontal="center" vertical="center"/>
    </xf>
    <xf numFmtId="0" fontId="0" fillId="0" borderId="22" xfId="0" applyBorder="1" applyAlignment="1">
      <alignment horizontal="right"/>
    </xf>
    <xf numFmtId="0" fontId="0" fillId="0" borderId="23" xfId="0" applyBorder="1" applyAlignment="1">
      <alignment horizontal="center"/>
    </xf>
    <xf numFmtId="0" fontId="0" fillId="0" borderId="24" xfId="0" applyBorder="1" applyAlignment="1">
      <alignment horizontal="center"/>
    </xf>
    <xf numFmtId="169" fontId="1" fillId="2" borderId="0" xfId="6" applyNumberFormat="1" applyBorder="1" applyAlignment="1">
      <alignment horizontal="center" vertical="center"/>
    </xf>
    <xf numFmtId="169" fontId="1" fillId="2" borderId="26" xfId="6" applyNumberFormat="1" applyBorder="1" applyAlignment="1">
      <alignment horizontal="center" vertical="center"/>
    </xf>
    <xf numFmtId="169" fontId="0" fillId="0" borderId="21" xfId="0" applyNumberFormat="1" applyBorder="1" applyAlignment="1">
      <alignment horizontal="center" vertical="center"/>
    </xf>
    <xf numFmtId="0" fontId="2" fillId="0" borderId="1" xfId="0" applyFont="1" applyBorder="1"/>
    <xf numFmtId="0" fontId="6" fillId="0" borderId="0" xfId="8" applyAlignment="1">
      <alignment horizontal="left"/>
    </xf>
    <xf numFmtId="167" fontId="0" fillId="0" borderId="11" xfId="3" applyNumberFormat="1" applyFont="1" applyFill="1" applyBorder="1" applyAlignment="1">
      <alignment horizontal="right" vertical="center"/>
    </xf>
    <xf numFmtId="166" fontId="0" fillId="0" borderId="7" xfId="4" applyNumberFormat="1" applyFont="1" applyFill="1" applyBorder="1" applyAlignment="1">
      <alignment horizontal="center" vertical="center"/>
    </xf>
    <xf numFmtId="0" fontId="0" fillId="0" borderId="3" xfId="0" applyFill="1" applyBorder="1" applyAlignment="1">
      <alignment horizontal="center" vertical="center"/>
    </xf>
    <xf numFmtId="0" fontId="3" fillId="0" borderId="10" xfId="2" applyFill="1" applyBorder="1" applyAlignment="1">
      <alignment horizontal="right" vertical="center" wrapText="1"/>
    </xf>
    <xf numFmtId="0" fontId="3" fillId="0" borderId="8" xfId="2" applyFill="1" applyBorder="1" applyAlignment="1">
      <alignment horizontal="center" vertical="center" wrapText="1"/>
    </xf>
    <xf numFmtId="0" fontId="3" fillId="0" borderId="4" xfId="2" applyFill="1" applyBorder="1" applyAlignment="1">
      <alignment horizontal="center" vertical="center" wrapText="1"/>
    </xf>
    <xf numFmtId="0" fontId="7" fillId="0" borderId="1" xfId="0" applyFont="1" applyBorder="1" applyAlignment="1">
      <alignment vertical="center"/>
    </xf>
    <xf numFmtId="7" fontId="0" fillId="0" borderId="0" xfId="0" applyNumberFormat="1" applyAlignment="1">
      <alignment horizontal="left"/>
    </xf>
    <xf numFmtId="0" fontId="0" fillId="0" borderId="0" xfId="0" applyBorder="1" applyAlignment="1">
      <alignment horizontal="left" vertical="center"/>
    </xf>
    <xf numFmtId="7" fontId="1" fillId="2" borderId="11" xfId="6" applyNumberFormat="1" applyBorder="1" applyAlignment="1">
      <alignment horizontal="right" vertical="center"/>
    </xf>
    <xf numFmtId="7" fontId="1" fillId="2" borderId="10" xfId="6" applyNumberFormat="1" applyBorder="1" applyAlignment="1">
      <alignment horizontal="right" vertical="center" wrapText="1"/>
    </xf>
    <xf numFmtId="4" fontId="0" fillId="0" borderId="0" xfId="0" applyNumberFormat="1" applyAlignment="1">
      <alignment horizontal="right"/>
    </xf>
    <xf numFmtId="0" fontId="2" fillId="0" borderId="27" xfId="0" applyFont="1" applyBorder="1" applyAlignment="1">
      <alignment horizontal="center" vertical="center" wrapText="1"/>
    </xf>
    <xf numFmtId="7" fontId="3" fillId="2" borderId="10" xfId="6" applyNumberFormat="1" applyFont="1" applyBorder="1" applyAlignment="1">
      <alignment horizontal="right" vertical="center" wrapText="1"/>
    </xf>
    <xf numFmtId="7" fontId="1" fillId="2" borderId="20" xfId="6" applyNumberFormat="1" applyBorder="1" applyAlignment="1">
      <alignment horizontal="right" vertical="center"/>
    </xf>
    <xf numFmtId="4" fontId="1" fillId="3" borderId="11" xfId="6" applyNumberFormat="1" applyFill="1" applyBorder="1" applyAlignment="1">
      <alignment horizontal="right" vertical="center"/>
    </xf>
    <xf numFmtId="0" fontId="0" fillId="3" borderId="7" xfId="0" applyFill="1" applyBorder="1" applyAlignment="1">
      <alignment horizontal="left"/>
    </xf>
    <xf numFmtId="3" fontId="1" fillId="3" borderId="11" xfId="6" applyNumberFormat="1" applyFill="1" applyBorder="1" applyAlignment="1">
      <alignment horizontal="right" vertical="center"/>
    </xf>
    <xf numFmtId="173" fontId="0" fillId="0" borderId="0" xfId="0" applyNumberFormat="1" applyAlignment="1">
      <alignment horizontal="left"/>
    </xf>
    <xf numFmtId="0" fontId="0" fillId="0" borderId="0" xfId="0" applyAlignment="1">
      <alignment horizontal="center"/>
    </xf>
    <xf numFmtId="0" fontId="0" fillId="0" borderId="0" xfId="0" applyAlignment="1">
      <alignment vertical="center"/>
    </xf>
    <xf numFmtId="168" fontId="0" fillId="0" borderId="0" xfId="0" applyNumberFormat="1" applyAlignment="1">
      <alignment horizontal="center"/>
    </xf>
    <xf numFmtId="22" fontId="0" fillId="0" borderId="0" xfId="0" applyNumberFormat="1"/>
    <xf numFmtId="14" fontId="0" fillId="0" borderId="0" xfId="0" applyNumberFormat="1"/>
    <xf numFmtId="0" fontId="2" fillId="0" borderId="0" xfId="0" applyFont="1"/>
    <xf numFmtId="0" fontId="0" fillId="0" borderId="3" xfId="0" applyFill="1" applyBorder="1" applyAlignment="1">
      <alignment horizontal="left" indent="2"/>
    </xf>
    <xf numFmtId="0" fontId="5" fillId="0" borderId="3" xfId="0" applyFont="1" applyFill="1" applyBorder="1" applyAlignment="1">
      <alignment horizontal="left" indent="4"/>
    </xf>
    <xf numFmtId="0" fontId="0" fillId="0" borderId="0" xfId="0" applyAlignment="1">
      <alignment horizontal="center"/>
    </xf>
    <xf numFmtId="0" fontId="16" fillId="0" borderId="0" xfId="10" applyFont="1" applyFill="1"/>
    <xf numFmtId="0" fontId="17" fillId="0" borderId="43" xfId="10" applyNumberFormat="1" applyFont="1" applyFill="1" applyBorder="1" applyAlignment="1">
      <alignment horizontal="center"/>
    </xf>
    <xf numFmtId="0" fontId="17" fillId="0" borderId="43" xfId="10" applyFont="1" applyFill="1" applyBorder="1" applyAlignment="1">
      <alignment horizontal="center"/>
    </xf>
    <xf numFmtId="0" fontId="12" fillId="0" borderId="0" xfId="10" applyFont="1" applyFill="1"/>
    <xf numFmtId="2" fontId="17" fillId="0" borderId="0" xfId="10" applyNumberFormat="1" applyFont="1" applyFill="1" applyBorder="1" applyAlignment="1"/>
    <xf numFmtId="2" fontId="12" fillId="0" borderId="0" xfId="10" applyNumberFormat="1" applyFont="1" applyFill="1"/>
    <xf numFmtId="168" fontId="12" fillId="0" borderId="0" xfId="10" applyNumberFormat="1" applyFont="1" applyFill="1"/>
    <xf numFmtId="0" fontId="18" fillId="0" borderId="0" xfId="10" applyFont="1" applyFill="1"/>
    <xf numFmtId="0" fontId="19" fillId="0" borderId="0" xfId="10" applyFont="1" applyFill="1"/>
    <xf numFmtId="0" fontId="17" fillId="0" borderId="0" xfId="10" applyFont="1" applyFill="1"/>
    <xf numFmtId="0" fontId="12" fillId="0" borderId="42" xfId="10" applyFont="1" applyFill="1" applyBorder="1"/>
    <xf numFmtId="168" fontId="12" fillId="0" borderId="42" xfId="10" applyNumberFormat="1" applyFont="1" applyFill="1" applyBorder="1"/>
    <xf numFmtId="0" fontId="21" fillId="0" borderId="0" xfId="10" applyFont="1" applyFill="1"/>
    <xf numFmtId="2" fontId="21" fillId="0" borderId="0" xfId="10" applyNumberFormat="1" applyFont="1" applyFill="1"/>
    <xf numFmtId="2" fontId="16" fillId="0" borderId="0" xfId="10" applyNumberFormat="1" applyFont="1" applyFill="1"/>
    <xf numFmtId="0" fontId="21" fillId="0" borderId="0" xfId="10" applyFont="1" applyFill="1" applyAlignment="1">
      <alignment wrapText="1"/>
    </xf>
    <xf numFmtId="0" fontId="6" fillId="0" borderId="0" xfId="8" applyAlignment="1">
      <alignment wrapText="1"/>
    </xf>
    <xf numFmtId="0" fontId="6" fillId="0" borderId="0" xfId="8" applyAlignment="1">
      <alignment horizontal="left" wrapText="1"/>
    </xf>
    <xf numFmtId="0" fontId="6" fillId="0" borderId="0" xfId="8" applyAlignment="1">
      <alignment horizontal="left" vertical="top" wrapText="1"/>
    </xf>
    <xf numFmtId="174" fontId="8" fillId="0" borderId="1" xfId="0" applyNumberFormat="1" applyFont="1" applyBorder="1" applyAlignment="1">
      <alignment horizontal="right" vertical="center" wrapText="1"/>
    </xf>
    <xf numFmtId="174" fontId="8" fillId="0" borderId="1" xfId="0" applyNumberFormat="1" applyFont="1" applyBorder="1" applyAlignment="1">
      <alignment vertical="center" wrapText="1"/>
    </xf>
    <xf numFmtId="174" fontId="7" fillId="0" borderId="1" xfId="0" applyNumberFormat="1" applyFont="1" applyBorder="1" applyAlignment="1">
      <alignment horizontal="right" vertical="center"/>
    </xf>
    <xf numFmtId="0" fontId="9" fillId="0" borderId="0" xfId="0" applyFont="1" applyAlignment="1">
      <alignment horizontal="left" vertical="center"/>
    </xf>
    <xf numFmtId="0" fontId="0" fillId="0" borderId="0" xfId="0" applyAlignment="1">
      <alignment horizontal="center" wrapText="1"/>
    </xf>
    <xf numFmtId="0" fontId="2" fillId="0" borderId="0" xfId="0" applyFont="1" applyAlignment="1">
      <alignment horizontal="center"/>
    </xf>
    <xf numFmtId="0" fontId="2" fillId="0" borderId="40"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0" xfId="0" applyFont="1" applyAlignment="1">
      <alignment horizontal="center" vertical="center" wrapText="1"/>
    </xf>
    <xf numFmtId="0" fontId="3" fillId="0" borderId="5" xfId="0" applyFont="1" applyBorder="1"/>
    <xf numFmtId="168" fontId="3" fillId="0" borderId="5" xfId="0" applyNumberFormat="1" applyFont="1" applyBorder="1" applyAlignment="1">
      <alignment horizontal="center"/>
    </xf>
    <xf numFmtId="11" fontId="3" fillId="0" borderId="5" xfId="0" applyNumberFormat="1" applyFont="1" applyBorder="1" applyAlignment="1">
      <alignment horizontal="center"/>
    </xf>
    <xf numFmtId="0" fontId="3" fillId="0" borderId="5" xfId="0" applyFont="1" applyBorder="1" applyAlignment="1">
      <alignment horizontal="center"/>
    </xf>
    <xf numFmtId="0" fontId="6" fillId="0" borderId="0" xfId="8" applyFill="1"/>
    <xf numFmtId="0" fontId="23" fillId="0" borderId="0" xfId="0" applyFont="1" applyAlignment="1">
      <alignment horizontal="center"/>
    </xf>
    <xf numFmtId="0" fontId="23" fillId="0" borderId="7" xfId="0" applyFont="1" applyBorder="1" applyAlignment="1">
      <alignment horizontal="center" vertical="center"/>
    </xf>
    <xf numFmtId="0" fontId="3" fillId="0" borderId="37" xfId="0" applyFont="1" applyBorder="1" applyAlignment="1">
      <alignment horizontal="center"/>
    </xf>
    <xf numFmtId="2" fontId="23" fillId="0" borderId="37" xfId="0" applyNumberFormat="1" applyFont="1" applyBorder="1" applyAlignment="1">
      <alignment horizontal="center"/>
    </xf>
    <xf numFmtId="0" fontId="23" fillId="0" borderId="37" xfId="0" applyFont="1" applyBorder="1" applyAlignment="1">
      <alignment horizontal="center"/>
    </xf>
    <xf numFmtId="0" fontId="23" fillId="0" borderId="36" xfId="0" applyFont="1" applyBorder="1" applyAlignment="1">
      <alignment horizontal="center"/>
    </xf>
    <xf numFmtId="0" fontId="3" fillId="0" borderId="34" xfId="0" applyFont="1" applyBorder="1" applyAlignment="1">
      <alignment horizontal="center"/>
    </xf>
    <xf numFmtId="2" fontId="23" fillId="0" borderId="34" xfId="0" applyNumberFormat="1" applyFont="1" applyBorder="1" applyAlignment="1">
      <alignment horizontal="center"/>
    </xf>
    <xf numFmtId="0" fontId="23" fillId="0" borderId="34" xfId="0" applyFont="1" applyBorder="1" applyAlignment="1">
      <alignment horizontal="center"/>
    </xf>
    <xf numFmtId="2" fontId="23" fillId="0" borderId="33" xfId="0" applyNumberFormat="1" applyFont="1" applyBorder="1" applyAlignment="1">
      <alignment horizontal="center"/>
    </xf>
    <xf numFmtId="0" fontId="3" fillId="0" borderId="46" xfId="0" applyFont="1" applyBorder="1" applyAlignment="1">
      <alignment horizontal="center"/>
    </xf>
    <xf numFmtId="2" fontId="23" fillId="0" borderId="46" xfId="0" applyNumberFormat="1" applyFont="1" applyBorder="1" applyAlignment="1">
      <alignment horizontal="center"/>
    </xf>
    <xf numFmtId="0" fontId="23" fillId="0" borderId="46" xfId="0" applyFont="1" applyBorder="1" applyAlignment="1">
      <alignment horizontal="center"/>
    </xf>
    <xf numFmtId="2" fontId="23" fillId="0" borderId="5" xfId="0" applyNumberFormat="1" applyFont="1" applyBorder="1" applyAlignment="1">
      <alignment horizontal="center"/>
    </xf>
    <xf numFmtId="0" fontId="23" fillId="0" borderId="5" xfId="0" applyFont="1" applyBorder="1" applyAlignment="1">
      <alignment horizontal="center"/>
    </xf>
    <xf numFmtId="168" fontId="23" fillId="0" borderId="5" xfId="0" applyNumberFormat="1" applyFont="1" applyBorder="1" applyAlignment="1">
      <alignment horizontal="center"/>
    </xf>
    <xf numFmtId="0" fontId="23" fillId="0" borderId="48" xfId="0" applyFont="1" applyBorder="1" applyAlignment="1">
      <alignment horizontal="center"/>
    </xf>
    <xf numFmtId="0" fontId="23" fillId="0" borderId="47" xfId="0" applyFont="1" applyBorder="1" applyAlignment="1">
      <alignment horizontal="center"/>
    </xf>
    <xf numFmtId="168" fontId="23" fillId="0" borderId="46" xfId="0" applyNumberFormat="1" applyFont="1" applyBorder="1" applyAlignment="1">
      <alignment horizontal="center"/>
    </xf>
    <xf numFmtId="2" fontId="23" fillId="0" borderId="48" xfId="0" applyNumberFormat="1" applyFont="1" applyBorder="1" applyAlignment="1">
      <alignment horizontal="center"/>
    </xf>
    <xf numFmtId="0" fontId="2" fillId="0" borderId="1" xfId="0" applyFont="1" applyBorder="1" applyAlignment="1">
      <alignment horizontal="center"/>
    </xf>
    <xf numFmtId="0" fontId="24" fillId="0" borderId="1" xfId="0" applyFont="1" applyBorder="1"/>
    <xf numFmtId="0" fontId="24" fillId="0" borderId="1" xfId="0" applyFont="1" applyBorder="1" applyAlignment="1">
      <alignment horizontal="center" vertical="center"/>
    </xf>
    <xf numFmtId="44" fontId="24" fillId="0" borderId="1" xfId="1" applyFont="1" applyBorder="1"/>
    <xf numFmtId="0" fontId="24" fillId="0" borderId="45" xfId="0" applyFont="1" applyBorder="1"/>
    <xf numFmtId="0" fontId="24" fillId="0" borderId="45" xfId="0" applyFont="1" applyBorder="1" applyAlignment="1">
      <alignment horizontal="center" vertical="center"/>
    </xf>
    <xf numFmtId="44" fontId="24" fillId="0" borderId="45" xfId="1" applyFont="1" applyBorder="1"/>
    <xf numFmtId="1" fontId="0" fillId="0" borderId="0" xfId="0" applyNumberFormat="1"/>
    <xf numFmtId="0" fontId="0" fillId="0" borderId="0" xfId="0" applyFont="1"/>
    <xf numFmtId="0" fontId="25" fillId="0" borderId="0" xfId="0" applyFont="1"/>
    <xf numFmtId="0" fontId="26" fillId="0" borderId="0" xfId="0" applyFont="1"/>
    <xf numFmtId="0" fontId="2" fillId="0" borderId="0" xfId="0" applyFont="1" applyAlignment="1">
      <alignment horizontal="right"/>
    </xf>
    <xf numFmtId="0" fontId="2" fillId="0" borderId="0" xfId="0" applyFont="1" applyAlignment="1">
      <alignment horizontal="left"/>
    </xf>
    <xf numFmtId="0" fontId="3" fillId="0" borderId="51" xfId="0" applyFont="1" applyBorder="1"/>
    <xf numFmtId="0" fontId="3" fillId="0" borderId="51" xfId="0" applyFont="1" applyFill="1" applyBorder="1" applyAlignment="1">
      <alignment horizontal="center"/>
    </xf>
    <xf numFmtId="11" fontId="3" fillId="0" borderId="51" xfId="0" applyNumberFormat="1" applyFont="1" applyBorder="1" applyAlignment="1">
      <alignment horizontal="center"/>
    </xf>
    <xf numFmtId="0" fontId="3" fillId="0" borderId="52" xfId="0" applyFont="1" applyBorder="1"/>
    <xf numFmtId="168" fontId="22" fillId="0" borderId="53" xfId="0" applyNumberFormat="1" applyFont="1" applyFill="1" applyBorder="1" applyAlignment="1">
      <alignment horizontal="center"/>
    </xf>
    <xf numFmtId="11" fontId="3" fillId="0" borderId="52" xfId="0" applyNumberFormat="1" applyFont="1" applyBorder="1" applyAlignment="1">
      <alignment horizontal="center"/>
    </xf>
    <xf numFmtId="0" fontId="3" fillId="0" borderId="52" xfId="0" applyFont="1" applyBorder="1" applyAlignment="1">
      <alignment horizontal="center"/>
    </xf>
    <xf numFmtId="0" fontId="0" fillId="0" borderId="53" xfId="0" applyBorder="1"/>
    <xf numFmtId="0" fontId="0" fillId="0" borderId="0" xfId="0" applyFill="1" applyAlignment="1">
      <alignment horizontal="right"/>
    </xf>
    <xf numFmtId="7" fontId="1" fillId="3" borderId="22" xfId="6" applyNumberFormat="1" applyFill="1" applyBorder="1" applyAlignment="1">
      <alignment vertical="center"/>
    </xf>
    <xf numFmtId="0" fontId="0" fillId="3" borderId="23" xfId="0" applyFill="1" applyBorder="1" applyAlignment="1">
      <alignment horizontal="right"/>
    </xf>
    <xf numFmtId="172" fontId="1" fillId="3" borderId="12" xfId="6" applyNumberFormat="1" applyFill="1" applyBorder="1" applyAlignment="1">
      <alignment vertical="center"/>
    </xf>
    <xf numFmtId="0" fontId="0" fillId="3" borderId="29" xfId="0" applyFill="1" applyBorder="1" applyAlignment="1">
      <alignment horizontal="right"/>
    </xf>
    <xf numFmtId="172" fontId="0" fillId="3" borderId="29" xfId="6" applyNumberFormat="1" applyFont="1" applyFill="1" applyBorder="1" applyAlignment="1">
      <alignment vertical="center"/>
    </xf>
    <xf numFmtId="0" fontId="0" fillId="0" borderId="0" xfId="0" applyBorder="1" applyAlignment="1">
      <alignment horizontal="right"/>
    </xf>
    <xf numFmtId="0" fontId="27" fillId="4" borderId="1" xfId="0" applyFont="1" applyFill="1" applyBorder="1" applyAlignment="1">
      <alignment horizontal="center" vertical="center"/>
    </xf>
    <xf numFmtId="0" fontId="27" fillId="4" borderId="1" xfId="0" applyFont="1" applyFill="1" applyBorder="1" applyAlignment="1">
      <alignment horizontal="center"/>
    </xf>
    <xf numFmtId="0" fontId="27" fillId="4" borderId="1" xfId="0" applyFont="1" applyFill="1" applyBorder="1" applyAlignment="1">
      <alignment horizontal="center" vertical="center" wrapText="1"/>
    </xf>
    <xf numFmtId="0" fontId="27" fillId="4" borderId="1" xfId="0" applyFont="1" applyFill="1" applyBorder="1" applyAlignment="1">
      <alignment horizontal="center" wrapText="1"/>
    </xf>
    <xf numFmtId="0" fontId="23" fillId="4" borderId="1" xfId="0" applyFont="1" applyFill="1" applyBorder="1" applyAlignment="1">
      <alignment horizontal="center"/>
    </xf>
    <xf numFmtId="1" fontId="23" fillId="4" borderId="1" xfId="0" applyNumberFormat="1" applyFont="1" applyFill="1" applyBorder="1" applyAlignment="1">
      <alignment horizontal="center"/>
    </xf>
    <xf numFmtId="0" fontId="23" fillId="4" borderId="51" xfId="0" applyFont="1" applyFill="1" applyBorder="1" applyAlignment="1">
      <alignment horizontal="center"/>
    </xf>
    <xf numFmtId="0" fontId="23" fillId="4" borderId="5" xfId="0" applyFont="1" applyFill="1" applyBorder="1" applyAlignment="1">
      <alignment horizontal="center"/>
    </xf>
    <xf numFmtId="1" fontId="23" fillId="4" borderId="5" xfId="0" applyNumberFormat="1" applyFont="1" applyFill="1" applyBorder="1" applyAlignment="1">
      <alignment horizontal="center"/>
    </xf>
    <xf numFmtId="1" fontId="23" fillId="4" borderId="51" xfId="0" applyNumberFormat="1" applyFont="1" applyFill="1" applyBorder="1" applyAlignment="1">
      <alignment horizontal="center"/>
    </xf>
    <xf numFmtId="0" fontId="0" fillId="4" borderId="0" xfId="0" applyFill="1" applyAlignment="1">
      <alignment horizontal="center"/>
    </xf>
    <xf numFmtId="9" fontId="0" fillId="4" borderId="0" xfId="9" applyFont="1" applyFill="1" applyAlignment="1">
      <alignment horizontal="center"/>
    </xf>
    <xf numFmtId="1" fontId="0" fillId="4" borderId="0" xfId="0" applyNumberFormat="1" applyFill="1" applyAlignment="1">
      <alignment horizontal="center"/>
    </xf>
    <xf numFmtId="7" fontId="3" fillId="2" borderId="10" xfId="6" applyNumberFormat="1" applyFont="1" applyBorder="1" applyAlignment="1">
      <alignment horizontal="center" vertical="center" wrapText="1"/>
    </xf>
    <xf numFmtId="7" fontId="3" fillId="2" borderId="8" xfId="6" applyNumberFormat="1" applyFont="1" applyBorder="1" applyAlignment="1">
      <alignment horizontal="center" vertical="center" wrapText="1"/>
    </xf>
    <xf numFmtId="7" fontId="1" fillId="2" borderId="30" xfId="6" applyNumberFormat="1" applyBorder="1" applyAlignment="1">
      <alignment horizontal="center" vertical="center" wrapText="1"/>
    </xf>
    <xf numFmtId="7" fontId="1" fillId="2" borderId="32" xfId="6" applyNumberFormat="1" applyBorder="1" applyAlignment="1">
      <alignment horizontal="center" vertical="center" wrapText="1"/>
    </xf>
    <xf numFmtId="7" fontId="1" fillId="3" borderId="10" xfId="6" applyNumberFormat="1" applyFill="1" applyBorder="1" applyAlignment="1">
      <alignment horizontal="center" vertical="center" wrapText="1"/>
    </xf>
    <xf numFmtId="7" fontId="1" fillId="3" borderId="8" xfId="6" applyNumberFormat="1" applyFill="1" applyBorder="1" applyAlignment="1">
      <alignment horizontal="center" vertical="center" wrapText="1"/>
    </xf>
    <xf numFmtId="4" fontId="0" fillId="0" borderId="12" xfId="0" applyNumberFormat="1" applyBorder="1" applyAlignment="1">
      <alignment horizontal="center"/>
    </xf>
    <xf numFmtId="4" fontId="2" fillId="0" borderId="27" xfId="0" applyNumberFormat="1" applyFont="1" applyBorder="1" applyAlignment="1">
      <alignment horizontal="center" vertical="center" wrapText="1"/>
    </xf>
    <xf numFmtId="4" fontId="2" fillId="0" borderId="31" xfId="0" applyNumberFormat="1" applyFont="1" applyBorder="1" applyAlignment="1">
      <alignment horizontal="center" vertical="center" wrapText="1"/>
    </xf>
    <xf numFmtId="0" fontId="0" fillId="3" borderId="7" xfId="0" applyFill="1" applyBorder="1" applyAlignment="1">
      <alignment horizontal="left" vertical="center"/>
    </xf>
    <xf numFmtId="0" fontId="0" fillId="3" borderId="29" xfId="0" applyFill="1" applyBorder="1" applyAlignment="1">
      <alignment horizontal="left" vertical="center"/>
    </xf>
    <xf numFmtId="172" fontId="1" fillId="3" borderId="11" xfId="6" applyNumberFormat="1" applyFill="1" applyBorder="1" applyAlignment="1">
      <alignment horizontal="right" vertical="center"/>
    </xf>
    <xf numFmtId="4" fontId="1" fillId="3" borderId="11" xfId="6" applyNumberFormat="1" applyFill="1" applyBorder="1" applyAlignment="1">
      <alignment horizontal="right" vertical="center"/>
    </xf>
    <xf numFmtId="4" fontId="1" fillId="3" borderId="28" xfId="6" applyNumberFormat="1" applyFill="1" applyBorder="1" applyAlignment="1">
      <alignment horizontal="right" vertical="center"/>
    </xf>
    <xf numFmtId="7" fontId="0" fillId="0" borderId="0" xfId="0" applyNumberFormat="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2" fillId="0" borderId="1" xfId="0" applyFont="1" applyBorder="1" applyAlignment="1">
      <alignment horizontal="center" vertical="center" wrapText="1"/>
    </xf>
    <xf numFmtId="170" fontId="0" fillId="0" borderId="3" xfId="0" applyNumberFormat="1" applyBorder="1" applyAlignment="1">
      <alignment horizontal="center" vertical="center"/>
    </xf>
    <xf numFmtId="168" fontId="0" fillId="0" borderId="3" xfId="0" applyNumberFormat="1" applyFill="1" applyBorder="1" applyAlignment="1">
      <alignment horizontal="center" vertical="center"/>
    </xf>
    <xf numFmtId="167" fontId="0" fillId="0" borderId="11" xfId="3" applyNumberFormat="1" applyFont="1" applyFill="1" applyBorder="1" applyAlignment="1">
      <alignment horizontal="right" vertical="center"/>
    </xf>
    <xf numFmtId="166" fontId="0" fillId="0" borderId="7" xfId="4" applyNumberFormat="1" applyFont="1" applyFill="1" applyBorder="1" applyAlignment="1">
      <alignment horizontal="center" vertical="center"/>
    </xf>
    <xf numFmtId="7" fontId="0" fillId="0" borderId="3" xfId="0" applyNumberFormat="1" applyBorder="1" applyAlignment="1">
      <alignment horizontal="center" vertical="center"/>
    </xf>
    <xf numFmtId="168" fontId="0" fillId="0" borderId="3" xfId="0" applyNumberFormat="1" applyBorder="1" applyAlignment="1">
      <alignment horizontal="center" vertical="center"/>
    </xf>
    <xf numFmtId="0" fontId="0" fillId="0" borderId="3" xfId="0" applyBorder="1" applyAlignment="1">
      <alignment horizontal="center" vertical="center"/>
    </xf>
    <xf numFmtId="7" fontId="1" fillId="2" borderId="11" xfId="6" applyNumberFormat="1" applyBorder="1" applyAlignment="1">
      <alignment horizontal="center" vertical="center"/>
    </xf>
    <xf numFmtId="7" fontId="0" fillId="0" borderId="3" xfId="0" applyNumberFormat="1" applyFill="1" applyBorder="1" applyAlignment="1">
      <alignment horizontal="right" vertical="center"/>
    </xf>
    <xf numFmtId="0" fontId="0" fillId="0" borderId="3" xfId="0" applyFill="1" applyBorder="1" applyAlignment="1">
      <alignment horizontal="center" vertical="center"/>
    </xf>
    <xf numFmtId="0" fontId="0" fillId="0" borderId="5" xfId="0" applyFill="1" applyBorder="1" applyAlignment="1">
      <alignment horizontal="center" vertical="center"/>
    </xf>
    <xf numFmtId="2" fontId="0" fillId="0" borderId="19" xfId="0" applyNumberFormat="1" applyFill="1" applyBorder="1" applyAlignment="1">
      <alignment horizontal="center" vertical="center"/>
    </xf>
    <xf numFmtId="2" fontId="0" fillId="0" borderId="3" xfId="0" applyNumberFormat="1" applyFill="1" applyBorder="1" applyAlignment="1">
      <alignment horizontal="center" vertical="center"/>
    </xf>
    <xf numFmtId="167" fontId="0" fillId="0" borderId="20" xfId="3" applyNumberFormat="1" applyFont="1" applyFill="1" applyBorder="1" applyAlignment="1">
      <alignment horizontal="right" vertical="center"/>
    </xf>
    <xf numFmtId="166" fontId="0" fillId="0" borderId="21" xfId="4" applyNumberFormat="1" applyFont="1" applyFill="1" applyBorder="1" applyAlignment="1">
      <alignment horizontal="center" vertical="center"/>
    </xf>
    <xf numFmtId="7" fontId="0" fillId="0" borderId="19" xfId="0" applyNumberFormat="1" applyBorder="1" applyAlignment="1">
      <alignment horizontal="right" vertical="center"/>
    </xf>
    <xf numFmtId="7" fontId="0" fillId="0" borderId="3" xfId="0" applyNumberFormat="1" applyBorder="1" applyAlignment="1">
      <alignment horizontal="right" vertical="center"/>
    </xf>
    <xf numFmtId="168" fontId="0" fillId="0" borderId="19" xfId="0" applyNumberFormat="1" applyFill="1" applyBorder="1" applyAlignment="1">
      <alignment horizontal="center" vertical="center"/>
    </xf>
    <xf numFmtId="2" fontId="0" fillId="0" borderId="19" xfId="0" applyNumberFormat="1" applyBorder="1" applyAlignment="1">
      <alignment horizontal="center" vertical="center"/>
    </xf>
    <xf numFmtId="2" fontId="0" fillId="0" borderId="3" xfId="0" applyNumberFormat="1" applyBorder="1" applyAlignment="1">
      <alignment horizontal="center" vertical="center"/>
    </xf>
    <xf numFmtId="170" fontId="0" fillId="0" borderId="3" xfId="7" applyNumberFormat="1" applyFont="1" applyBorder="1" applyAlignment="1">
      <alignment horizontal="center" vertical="center"/>
    </xf>
    <xf numFmtId="171" fontId="0" fillId="0" borderId="3" xfId="0" applyNumberFormat="1" applyBorder="1" applyAlignment="1">
      <alignment horizontal="center" vertical="center"/>
    </xf>
    <xf numFmtId="0" fontId="0" fillId="0" borderId="27" xfId="0" applyBorder="1" applyAlignment="1">
      <alignment horizontal="center"/>
    </xf>
    <xf numFmtId="0" fontId="0" fillId="0" borderId="31" xfId="0" applyBorder="1" applyAlignment="1">
      <alignment horizontal="center"/>
    </xf>
    <xf numFmtId="0" fontId="0" fillId="0" borderId="45" xfId="0" applyBorder="1" applyAlignment="1">
      <alignment horizontal="right" vertical="center"/>
    </xf>
    <xf numFmtId="0" fontId="0" fillId="0" borderId="5" xfId="0" applyBorder="1" applyAlignment="1">
      <alignment horizontal="right" vertical="center"/>
    </xf>
    <xf numFmtId="0" fontId="0" fillId="0" borderId="0" xfId="0" applyAlignment="1">
      <alignment horizontal="left" vertical="top" wrapText="1"/>
    </xf>
    <xf numFmtId="0" fontId="0" fillId="0" borderId="0" xfId="0" applyAlignment="1">
      <alignment horizontal="left" vertical="top"/>
    </xf>
    <xf numFmtId="2" fontId="11" fillId="0" borderId="3" xfId="0" applyNumberFormat="1" applyFont="1" applyFill="1" applyBorder="1" applyAlignment="1">
      <alignment horizontal="center" vertical="center"/>
    </xf>
    <xf numFmtId="0" fontId="0" fillId="0" borderId="19" xfId="0" applyBorder="1" applyAlignment="1">
      <alignment horizontal="center" vertical="center"/>
    </xf>
    <xf numFmtId="7" fontId="1" fillId="2" borderId="20" xfId="6" applyNumberFormat="1" applyBorder="1" applyAlignment="1">
      <alignment horizontal="right" vertical="center"/>
    </xf>
    <xf numFmtId="7" fontId="1" fillId="2" borderId="11" xfId="6" applyNumberFormat="1" applyBorder="1" applyAlignment="1">
      <alignment horizontal="right" vertic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2" fillId="0" borderId="15" xfId="5" applyBorder="1" applyAlignment="1">
      <alignment horizontal="center" vertical="center"/>
    </xf>
    <xf numFmtId="0" fontId="2" fillId="0" borderId="14" xfId="5" applyBorder="1" applyAlignment="1">
      <alignment horizontal="center" vertical="center"/>
    </xf>
    <xf numFmtId="0" fontId="3" fillId="0" borderId="16" xfId="2" applyBorder="1" applyAlignment="1">
      <alignment horizontal="center" vertical="center"/>
    </xf>
    <xf numFmtId="0" fontId="3" fillId="0" borderId="17" xfId="2" applyBorder="1" applyAlignment="1">
      <alignment horizontal="center" vertical="center"/>
    </xf>
    <xf numFmtId="2" fontId="3" fillId="2" borderId="16" xfId="2" applyNumberFormat="1" applyFill="1" applyBorder="1" applyAlignment="1">
      <alignment horizontal="center" vertical="center"/>
    </xf>
    <xf numFmtId="2" fontId="3" fillId="2" borderId="17" xfId="2" applyNumberFormat="1" applyFill="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6" fillId="0" borderId="0" xfId="8" applyAlignment="1">
      <alignment horizontal="left" vertical="top" wrapText="1"/>
    </xf>
    <xf numFmtId="49" fontId="21" fillId="0" borderId="0" xfId="10" applyNumberFormat="1" applyFont="1" applyFill="1" applyAlignment="1">
      <alignment wrapText="1"/>
    </xf>
    <xf numFmtId="0" fontId="14" fillId="0" borderId="42" xfId="10" applyFont="1" applyFill="1" applyBorder="1" applyAlignment="1">
      <alignment horizontal="left" wrapText="1"/>
    </xf>
    <xf numFmtId="0" fontId="20" fillId="0" borderId="44" xfId="10" applyFont="1" applyFill="1" applyBorder="1" applyAlignment="1">
      <alignment wrapText="1"/>
    </xf>
    <xf numFmtId="0" fontId="21" fillId="0" borderId="0" xfId="10" applyFont="1" applyFill="1" applyAlignment="1">
      <alignment wrapText="1"/>
    </xf>
    <xf numFmtId="0" fontId="20" fillId="0" borderId="0" xfId="10" applyNumberFormat="1" applyFont="1" applyFill="1" applyAlignment="1">
      <alignment wrapText="1"/>
    </xf>
    <xf numFmtId="0" fontId="21" fillId="0" borderId="0" xfId="10" applyFont="1" applyFill="1"/>
    <xf numFmtId="49" fontId="20" fillId="0" borderId="0" xfId="10" applyNumberFormat="1" applyFont="1" applyFill="1" applyAlignment="1">
      <alignment wrapText="1"/>
    </xf>
    <xf numFmtId="0" fontId="2" fillId="0" borderId="40" xfId="0" applyFont="1" applyBorder="1" applyAlignment="1">
      <alignment horizontal="center" vertical="center"/>
    </xf>
    <xf numFmtId="0" fontId="3" fillId="0" borderId="38"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49" xfId="0" applyFont="1" applyBorder="1" applyAlignment="1">
      <alignment horizontal="center" vertical="center" wrapText="1"/>
    </xf>
    <xf numFmtId="0" fontId="3" fillId="0" borderId="35" xfId="0" applyFont="1" applyBorder="1" applyAlignment="1">
      <alignment horizontal="center" vertical="center"/>
    </xf>
    <xf numFmtId="0" fontId="2" fillId="0" borderId="41" xfId="0" applyFont="1" applyBorder="1" applyAlignment="1">
      <alignment horizontal="center"/>
    </xf>
    <xf numFmtId="0" fontId="2" fillId="0" borderId="40" xfId="0" applyFont="1" applyBorder="1" applyAlignment="1">
      <alignment horizontal="center"/>
    </xf>
    <xf numFmtId="0" fontId="9" fillId="0" borderId="0" xfId="0" applyFont="1" applyAlignment="1">
      <alignment horizontal="left" vertical="center" wrapText="1"/>
    </xf>
    <xf numFmtId="0" fontId="6" fillId="0" borderId="0" xfId="8" applyAlignment="1">
      <alignment horizontal="left" vertical="center" wrapText="1"/>
    </xf>
    <xf numFmtId="0" fontId="9" fillId="0" borderId="0" xfId="0" applyFont="1" applyAlignment="1">
      <alignment horizontal="left" vertical="center"/>
    </xf>
    <xf numFmtId="0" fontId="6" fillId="0" borderId="0" xfId="8" applyAlignment="1">
      <alignment horizontal="left"/>
    </xf>
    <xf numFmtId="0" fontId="2" fillId="0" borderId="0" xfId="0" applyFont="1" applyAlignment="1">
      <alignment horizontal="left"/>
    </xf>
    <xf numFmtId="0" fontId="0" fillId="0" borderId="0" xfId="0" applyFont="1" applyAlignment="1">
      <alignment horizontal="left" vertical="center" wrapText="1"/>
    </xf>
    <xf numFmtId="0" fontId="27" fillId="4" borderId="1" xfId="0" applyFont="1" applyFill="1" applyBorder="1" applyAlignment="1">
      <alignment horizontal="center" wrapText="1"/>
    </xf>
    <xf numFmtId="0" fontId="27" fillId="4" borderId="1" xfId="0" applyFont="1" applyFill="1" applyBorder="1" applyAlignment="1">
      <alignment horizontal="center" vertical="center" wrapText="1"/>
    </xf>
    <xf numFmtId="0" fontId="0" fillId="4" borderId="1" xfId="0" applyFill="1" applyBorder="1" applyAlignment="1">
      <alignment horizontal="center"/>
    </xf>
  </cellXfs>
  <cellStyles count="11">
    <cellStyle name="20% - Accent1" xfId="6" builtinId="30"/>
    <cellStyle name="Comma" xfId="7" builtinId="3"/>
    <cellStyle name="Comma [0]" xfId="3" builtinId="6"/>
    <cellStyle name="Currency" xfId="1" builtinId="4"/>
    <cellStyle name="Currency [0]" xfId="4" builtinId="7"/>
    <cellStyle name="Heading 3" xfId="2" builtinId="18"/>
    <cellStyle name="Hyperlink" xfId="8" builtinId="8"/>
    <cellStyle name="Normal" xfId="0" builtinId="0"/>
    <cellStyle name="Normal 2" xfId="10"/>
    <cellStyle name="Percent" xfId="9" builtinId="5"/>
    <cellStyle name="Total" xfId="5" builtinId="25"/>
  </cellStyles>
  <dxfs count="7">
    <dxf>
      <font>
        <b/>
        <i val="0"/>
        <strike val="0"/>
        <condense val="0"/>
        <extend val="0"/>
        <outline val="0"/>
        <shadow val="0"/>
        <u val="none"/>
        <vertAlign val="baseline"/>
        <sz val="11"/>
        <color theme="9" tint="-0.499984740745262"/>
        <name val="Calibri"/>
        <scheme val="minor"/>
      </font>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1"/>
        <color theme="9" tint="-0.499984740745262"/>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1"/>
        <color theme="9" tint="-0.499984740745262"/>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1"/>
        <color theme="9" tint="-0.499984740745262"/>
        <name val="Calibri"/>
        <scheme val="minor"/>
      </font>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strike val="0"/>
        <outline val="0"/>
        <shadow val="0"/>
        <u val="none"/>
        <vertAlign val="baseline"/>
        <sz val="11"/>
        <color theme="9" tint="-0.499984740745262"/>
        <name val="Calibri"/>
        <scheme val="minor"/>
      </font>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id="4" name="Table4" displayName="Table4" ref="A1:D44" totalsRowShown="0" headerRowDxfId="6" dataDxfId="5" tableBorderDxfId="4">
  <autoFilter ref="A1:D44"/>
  <tableColumns count="4">
    <tableColumn id="1" name="Pavement Year" dataDxfId="3"/>
    <tableColumn id="2" name="BUILD Timeline Year" dataDxfId="2"/>
    <tableColumn id="3" name="Calender Year" dataDxfId="1">
      <calculatedColumnFormula>C1+1</calculatedColumnFormula>
    </tableColumn>
    <tableColumn id="4" name="Maintenance" dataDxfId="0" dataCellStyle="Currency"/>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Custom 53">
      <a:dk1>
        <a:sysClr val="windowText" lastClr="000000"/>
      </a:dk1>
      <a:lt1>
        <a:sysClr val="window" lastClr="FFFFFF"/>
      </a:lt1>
      <a:dk2>
        <a:srgbClr val="455F51"/>
      </a:dk2>
      <a:lt2>
        <a:srgbClr val="E3DED1"/>
      </a:lt2>
      <a:accent1>
        <a:srgbClr val="3F762A"/>
      </a:accent1>
      <a:accent2>
        <a:srgbClr val="3F762A"/>
      </a:accent2>
      <a:accent3>
        <a:srgbClr val="C0CF3A"/>
      </a:accent3>
      <a:accent4>
        <a:srgbClr val="029676"/>
      </a:accent4>
      <a:accent5>
        <a:srgbClr val="4AB5C4"/>
      </a:accent5>
      <a:accent6>
        <a:srgbClr val="0989B1"/>
      </a:accent6>
      <a:hlink>
        <a:srgbClr val="0000FF"/>
      </a:hlink>
      <a:folHlink>
        <a:srgbClr val="BA6906"/>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ansportation.gov/sites/dot.gov/files/2020-01/benefit-cost-analysis-guidance-2020_0.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bts.gov/content/estimated-national-average-vehicle-emissions-rates-vehicle-vehicle-type-using-gasoline-and" TargetMode="External"/><Relationship Id="rId1" Type="http://schemas.openxmlformats.org/officeDocument/2006/relationships/hyperlink" Target="https://www.epa.gov/greenvehicles/greenhouse-gas-emissions-typical-passenger-vehicle"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ts.gov/content/estimated-national-average-vehicle-emissions-rates-vehicle-vehicle-type-using-gasoline-and"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cmfclearinghouse.org/detail.cfm?facid=2375" TargetMode="External"/><Relationship Id="rId7" Type="http://schemas.openxmlformats.org/officeDocument/2006/relationships/printerSettings" Target="../printerSettings/printerSettings8.bin"/><Relationship Id="rId2" Type="http://schemas.openxmlformats.org/officeDocument/2006/relationships/hyperlink" Target="http://www.cmfclearinghouse.org/detail.cfm?facid=7982" TargetMode="External"/><Relationship Id="rId1" Type="http://schemas.openxmlformats.org/officeDocument/2006/relationships/hyperlink" Target="http://www.cmfclearinghouse.org/detail.cfm?facid=2375" TargetMode="External"/><Relationship Id="rId6" Type="http://schemas.openxmlformats.org/officeDocument/2006/relationships/hyperlink" Target="http://www.cmfclearinghouse.org/detail.cfm?facid=9418" TargetMode="External"/><Relationship Id="rId5" Type="http://schemas.openxmlformats.org/officeDocument/2006/relationships/hyperlink" Target="http://www.cmfclearinghouse.org/detail.cfm?facid=1414" TargetMode="External"/><Relationship Id="rId4" Type="http://schemas.openxmlformats.org/officeDocument/2006/relationships/hyperlink" Target="http://www.cmfclearinghouse.org/detail.cfm?facid=4176"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6"/>
  <sheetViews>
    <sheetView showGridLines="0" tabSelected="1" zoomScaleNormal="100" workbookViewId="0">
      <selection activeCell="Q8" sqref="Q8"/>
    </sheetView>
  </sheetViews>
  <sheetFormatPr defaultRowHeight="15" x14ac:dyDescent="0.25"/>
  <cols>
    <col min="1" max="1" width="30.5703125" style="9" customWidth="1"/>
    <col min="2" max="2" width="10.28515625" style="9" customWidth="1"/>
    <col min="3" max="3" width="9.85546875" style="9" customWidth="1"/>
    <col min="4" max="4" width="8.5703125" style="9" customWidth="1"/>
    <col min="5" max="5" width="11" style="9" customWidth="1"/>
    <col min="6" max="6" width="6.85546875" style="9" bestFit="1" customWidth="1"/>
    <col min="7" max="7" width="6.7109375" style="9" customWidth="1"/>
    <col min="8" max="8" width="12.140625" style="9" customWidth="1"/>
    <col min="9" max="9" width="12" style="9" customWidth="1"/>
    <col min="10" max="10" width="4.28515625" style="9" customWidth="1"/>
    <col min="11" max="11" width="11.7109375" style="9" customWidth="1"/>
    <col min="12" max="12" width="10.42578125" style="79" customWidth="1"/>
    <col min="13" max="13" width="11.42578125" style="26" customWidth="1"/>
    <col min="14" max="14" width="20.7109375" style="26" customWidth="1"/>
    <col min="15" max="15" width="14.5703125" style="9" bestFit="1" customWidth="1"/>
    <col min="16" max="16" width="9.85546875" style="9" bestFit="1" customWidth="1"/>
    <col min="17" max="17" width="11.28515625" style="9" bestFit="1" customWidth="1"/>
    <col min="18" max="16384" width="9.140625" style="9"/>
  </cols>
  <sheetData>
    <row r="1" spans="1:18" x14ac:dyDescent="0.25">
      <c r="B1" s="22" t="s">
        <v>15</v>
      </c>
      <c r="C1" s="22" t="s">
        <v>16</v>
      </c>
      <c r="D1" s="22" t="s">
        <v>17</v>
      </c>
      <c r="E1" s="22" t="s">
        <v>18</v>
      </c>
      <c r="F1" s="22" t="s">
        <v>19</v>
      </c>
      <c r="G1" s="22" t="s">
        <v>20</v>
      </c>
      <c r="H1" s="22" t="s">
        <v>21</v>
      </c>
      <c r="I1" s="22" t="s">
        <v>22</v>
      </c>
      <c r="J1" s="1" t="s">
        <v>23</v>
      </c>
      <c r="K1" s="1" t="s">
        <v>24</v>
      </c>
      <c r="L1" s="196" t="s">
        <v>87</v>
      </c>
      <c r="M1" s="196"/>
    </row>
    <row r="2" spans="1:18" ht="60.75" x14ac:dyDescent="0.25">
      <c r="A2" s="16"/>
      <c r="B2" s="27" t="s">
        <v>0</v>
      </c>
      <c r="C2" s="27" t="s">
        <v>1</v>
      </c>
      <c r="D2" s="27" t="s">
        <v>7</v>
      </c>
      <c r="E2" s="207" t="s">
        <v>6</v>
      </c>
      <c r="F2" s="207"/>
      <c r="G2" s="29" t="s">
        <v>66</v>
      </c>
      <c r="H2" s="27" t="s">
        <v>81</v>
      </c>
      <c r="I2" s="27" t="s">
        <v>10</v>
      </c>
      <c r="J2" s="29" t="s">
        <v>11</v>
      </c>
      <c r="K2" s="80" t="s">
        <v>56</v>
      </c>
      <c r="L2" s="197" t="s">
        <v>88</v>
      </c>
      <c r="M2" s="198"/>
    </row>
    <row r="3" spans="1:18" ht="15.75" thickBot="1" x14ac:dyDescent="0.3">
      <c r="A3" s="17" t="s">
        <v>50</v>
      </c>
      <c r="B3" s="10"/>
      <c r="C3" s="10"/>
      <c r="D3" s="10"/>
      <c r="E3" s="14"/>
      <c r="F3" s="13"/>
      <c r="G3" s="11"/>
      <c r="H3" s="11"/>
      <c r="I3" s="12"/>
      <c r="J3" s="11"/>
      <c r="K3" s="81">
        <f>SUM(K5:K18)</f>
        <v>918911.13676652533</v>
      </c>
      <c r="L3" s="190"/>
      <c r="M3" s="191"/>
    </row>
    <row r="4" spans="1:18" ht="15.75" thickBot="1" x14ac:dyDescent="0.3">
      <c r="A4" s="7" t="s">
        <v>8</v>
      </c>
      <c r="B4" s="10"/>
      <c r="C4" s="10"/>
      <c r="D4" s="10"/>
      <c r="E4" s="15"/>
      <c r="F4" s="13"/>
      <c r="G4" s="11"/>
      <c r="H4" s="11"/>
      <c r="I4" s="12"/>
      <c r="J4" s="11"/>
      <c r="K4" s="78"/>
      <c r="L4" s="192"/>
      <c r="M4" s="193"/>
    </row>
    <row r="5" spans="1:18" x14ac:dyDescent="0.25">
      <c r="A5" s="8" t="s">
        <v>51</v>
      </c>
      <c r="B5" s="51"/>
      <c r="C5" s="51"/>
      <c r="D5" s="51"/>
      <c r="E5" s="55"/>
      <c r="F5" s="56"/>
      <c r="G5" s="54"/>
      <c r="H5" s="59"/>
      <c r="I5" s="53"/>
      <c r="J5" s="54"/>
      <c r="K5" s="82"/>
      <c r="L5" s="83"/>
      <c r="M5" s="84"/>
    </row>
    <row r="6" spans="1:18" x14ac:dyDescent="0.25">
      <c r="A6" s="30" t="s">
        <v>49</v>
      </c>
      <c r="B6" s="57">
        <f>Delay!D3</f>
        <v>1633389</v>
      </c>
      <c r="C6" s="57">
        <f>Delay!D4</f>
        <v>1631935</v>
      </c>
      <c r="D6" s="57">
        <f>B6-C6</f>
        <v>1454</v>
      </c>
      <c r="E6" s="68">
        <v>0.41</v>
      </c>
      <c r="F6" s="69">
        <v>-2018</v>
      </c>
      <c r="G6" s="70">
        <f>1.018^(2022-2018)</f>
        <v>1.0739674329760001</v>
      </c>
      <c r="H6" s="58">
        <f>E6*G6</f>
        <v>0.44032664752015999</v>
      </c>
      <c r="I6" s="58">
        <f>D6*H6</f>
        <v>640.23494549431257</v>
      </c>
      <c r="J6" s="52">
        <v>365</v>
      </c>
      <c r="K6" s="77">
        <f>J6*I6</f>
        <v>233685.75510542409</v>
      </c>
      <c r="L6" s="85">
        <f>D6*J6</f>
        <v>530710</v>
      </c>
      <c r="M6" s="84" t="s">
        <v>89</v>
      </c>
    </row>
    <row r="7" spans="1:18" x14ac:dyDescent="0.25">
      <c r="A7" s="30" t="s">
        <v>39</v>
      </c>
      <c r="B7" s="57">
        <f>Delay!C3</f>
        <v>42613</v>
      </c>
      <c r="C7" s="57">
        <f>Delay!C4</f>
        <v>42559</v>
      </c>
      <c r="D7" s="57">
        <f>B7-C7</f>
        <v>54</v>
      </c>
      <c r="E7" s="68">
        <v>16.600000000000001</v>
      </c>
      <c r="F7" s="69">
        <v>-2018</v>
      </c>
      <c r="G7" s="70">
        <f>1.018^(2022-2018)</f>
        <v>1.0739674329760001</v>
      </c>
      <c r="H7" s="58">
        <f>E7*G7</f>
        <v>17.827859387401602</v>
      </c>
      <c r="I7" s="58">
        <f>D7*H7</f>
        <v>962.70440691968656</v>
      </c>
      <c r="J7" s="52">
        <v>365</v>
      </c>
      <c r="K7" s="77">
        <f>I7*J7</f>
        <v>351387.10852568562</v>
      </c>
      <c r="L7" s="85">
        <f>D7*J7</f>
        <v>19710</v>
      </c>
      <c r="M7" s="84" t="s">
        <v>90</v>
      </c>
    </row>
    <row r="8" spans="1:18" x14ac:dyDescent="0.25">
      <c r="A8" s="8" t="s">
        <v>57</v>
      </c>
      <c r="B8" s="228">
        <f>B6*'Emissions Rates'!E2</f>
        <v>659.88856035105334</v>
      </c>
      <c r="C8" s="228">
        <f>'Emissions Rates'!E2*'Total Benefits'!C6</f>
        <v>659.30114488128447</v>
      </c>
      <c r="D8" s="228">
        <f>B8-C8</f>
        <v>0.58741546976887093</v>
      </c>
      <c r="E8" s="210">
        <v>1</v>
      </c>
      <c r="F8" s="211">
        <v>-2018</v>
      </c>
      <c r="G8" s="209">
        <v>1.0739674329760001</v>
      </c>
      <c r="H8" s="212">
        <f>G8*E8</f>
        <v>1.0739674329760001</v>
      </c>
      <c r="I8" s="212">
        <f>D8*H8</f>
        <v>0.63086508415806553</v>
      </c>
      <c r="J8" s="214">
        <v>365</v>
      </c>
      <c r="K8" s="215">
        <f>I8*J8</f>
        <v>230.26575571769391</v>
      </c>
      <c r="L8" s="201">
        <f>D8*J8</f>
        <v>214.40664646563789</v>
      </c>
      <c r="M8" s="199" t="s">
        <v>91</v>
      </c>
      <c r="N8" s="76"/>
    </row>
    <row r="9" spans="1:18" x14ac:dyDescent="0.25">
      <c r="A9" s="30" t="s">
        <v>64</v>
      </c>
      <c r="B9" s="228"/>
      <c r="C9" s="228"/>
      <c r="D9" s="228"/>
      <c r="E9" s="210"/>
      <c r="F9" s="211"/>
      <c r="G9" s="209"/>
      <c r="H9" s="212"/>
      <c r="I9" s="229"/>
      <c r="J9" s="214"/>
      <c r="K9" s="215"/>
      <c r="L9" s="201"/>
      <c r="M9" s="199"/>
      <c r="N9" s="76"/>
    </row>
    <row r="10" spans="1:18" x14ac:dyDescent="0.25">
      <c r="A10" s="8" t="s">
        <v>40</v>
      </c>
      <c r="B10" s="208">
        <f>B6*'Emissions Rates'!D3</f>
        <v>1.6729771173076888</v>
      </c>
      <c r="C10" s="208">
        <f>C6*'Emissions Rates'!D3</f>
        <v>1.6714878770051245</v>
      </c>
      <c r="D10" s="213">
        <f>B10-C10</f>
        <v>1.4892403025643652E-3</v>
      </c>
      <c r="E10" s="210">
        <v>8600</v>
      </c>
      <c r="F10" s="211">
        <v>-2018</v>
      </c>
      <c r="G10" s="209">
        <f>1.018^(2022-2018)</f>
        <v>1.0739674329760001</v>
      </c>
      <c r="H10" s="212">
        <f t="shared" ref="H10:H17" si="0">E10*G10</f>
        <v>9236.1199235936001</v>
      </c>
      <c r="I10" s="212">
        <f t="shared" ref="I10:I17" si="1">H10*D10</f>
        <v>13.754802029533295</v>
      </c>
      <c r="J10" s="214">
        <v>365</v>
      </c>
      <c r="K10" s="215">
        <f>I10*J10</f>
        <v>5020.5027407796524</v>
      </c>
      <c r="L10" s="201">
        <f>D10*J10</f>
        <v>0.54357271043599331</v>
      </c>
      <c r="M10" s="199" t="s">
        <v>92</v>
      </c>
      <c r="N10" s="76"/>
    </row>
    <row r="11" spans="1:18" x14ac:dyDescent="0.25">
      <c r="A11" s="30" t="s">
        <v>58</v>
      </c>
      <c r="B11" s="208"/>
      <c r="C11" s="208"/>
      <c r="D11" s="213"/>
      <c r="E11" s="210"/>
      <c r="F11" s="211"/>
      <c r="G11" s="209">
        <f t="shared" ref="G11" si="2">1.018^(2021-2017)</f>
        <v>1.0739674329760001</v>
      </c>
      <c r="H11" s="212"/>
      <c r="I11" s="212"/>
      <c r="J11" s="214"/>
      <c r="K11" s="215"/>
      <c r="L11" s="201"/>
      <c r="M11" s="199"/>
      <c r="N11" s="76"/>
      <c r="Q11" s="170"/>
      <c r="R11" s="170"/>
    </row>
    <row r="12" spans="1:18" x14ac:dyDescent="0.25">
      <c r="A12" s="8" t="s">
        <v>41</v>
      </c>
      <c r="B12" s="208">
        <f>B6*'Emissions Rates'!D4</f>
        <v>5.1865833434006019E-2</v>
      </c>
      <c r="C12" s="208">
        <f>C6*'Emissions Rates'!D4</f>
        <v>5.1819663830921237E-2</v>
      </c>
      <c r="D12" s="208">
        <f>B12-C12</f>
        <v>4.6169603084782185E-5</v>
      </c>
      <c r="E12" s="210">
        <v>387300</v>
      </c>
      <c r="F12" s="211">
        <v>-2018</v>
      </c>
      <c r="G12" s="209">
        <f>1.018^(2022-2018)</f>
        <v>1.0739674329760001</v>
      </c>
      <c r="H12" s="212">
        <f t="shared" si="0"/>
        <v>415947.58679160482</v>
      </c>
      <c r="I12" s="212">
        <f t="shared" si="1"/>
        <v>19.204134986241382</v>
      </c>
      <c r="J12" s="214">
        <v>365</v>
      </c>
      <c r="K12" s="215">
        <f>I12*J12</f>
        <v>7009.5092699781044</v>
      </c>
      <c r="L12" s="201">
        <f>D12*J12</f>
        <v>1.6851905125945497E-2</v>
      </c>
      <c r="M12" s="199" t="s">
        <v>92</v>
      </c>
      <c r="N12" s="76"/>
      <c r="Q12" s="170"/>
      <c r="R12" s="170"/>
    </row>
    <row r="13" spans="1:18" x14ac:dyDescent="0.25">
      <c r="A13" s="30" t="s">
        <v>58</v>
      </c>
      <c r="B13" s="208"/>
      <c r="C13" s="208"/>
      <c r="D13" s="208"/>
      <c r="E13" s="210"/>
      <c r="F13" s="211"/>
      <c r="G13" s="209">
        <f t="shared" ref="G13" si="3">1.018^(2021-2017)</f>
        <v>1.0739674329760001</v>
      </c>
      <c r="H13" s="212"/>
      <c r="I13" s="212"/>
      <c r="J13" s="214"/>
      <c r="K13" s="215"/>
      <c r="L13" s="201"/>
      <c r="M13" s="199"/>
      <c r="N13" s="76"/>
      <c r="P13" s="230" t="s">
        <v>237</v>
      </c>
      <c r="Q13" s="231"/>
      <c r="R13" s="170"/>
    </row>
    <row r="14" spans="1:18" ht="15.75" thickBot="1" x14ac:dyDescent="0.3">
      <c r="A14" s="7" t="s">
        <v>9</v>
      </c>
      <c r="B14" s="10"/>
      <c r="C14" s="10"/>
      <c r="D14" s="10"/>
      <c r="E14" s="71"/>
      <c r="F14" s="72"/>
      <c r="G14" s="73"/>
      <c r="H14" s="31"/>
      <c r="I14" s="32"/>
      <c r="J14" s="11"/>
      <c r="K14" s="78"/>
      <c r="L14" s="194"/>
      <c r="M14" s="195"/>
      <c r="N14" s="75"/>
      <c r="O14" s="232" t="s">
        <v>57</v>
      </c>
      <c r="P14" s="171">
        <v>230.26575571769391</v>
      </c>
      <c r="Q14" s="172"/>
      <c r="R14" s="170"/>
    </row>
    <row r="15" spans="1:18" x14ac:dyDescent="0.25">
      <c r="A15" s="93" t="s">
        <v>95</v>
      </c>
      <c r="B15" s="219">
        <f>'Road Crash Summary'!C9</f>
        <v>7.333333333333333</v>
      </c>
      <c r="C15" s="219">
        <f>'Road Crash Summary'!F9</f>
        <v>4.801706666666667</v>
      </c>
      <c r="D15" s="226">
        <f t="shared" ref="D15:D17" si="4">B15-C15</f>
        <v>2.531626666666666</v>
      </c>
      <c r="E15" s="221">
        <v>4400</v>
      </c>
      <c r="F15" s="222">
        <v>-2018</v>
      </c>
      <c r="G15" s="225">
        <f>1.018^(2022-2018)</f>
        <v>1.0739674329760001</v>
      </c>
      <c r="H15" s="223">
        <f t="shared" si="0"/>
        <v>4725.4567050944006</v>
      </c>
      <c r="I15" s="223">
        <f>H15*D15</f>
        <v>11963.092206795784</v>
      </c>
      <c r="J15" s="237">
        <v>1</v>
      </c>
      <c r="K15" s="238">
        <f>I15*J15</f>
        <v>11963.092206795784</v>
      </c>
      <c r="L15" s="202">
        <f>D15*J15</f>
        <v>2.531626666666666</v>
      </c>
      <c r="M15" s="199" t="s">
        <v>93</v>
      </c>
      <c r="O15" s="233"/>
      <c r="P15" s="173">
        <v>214.40664646563789</v>
      </c>
      <c r="Q15" s="174" t="s">
        <v>91</v>
      </c>
      <c r="R15" s="170"/>
    </row>
    <row r="16" spans="1:18" x14ac:dyDescent="0.25">
      <c r="A16" s="94" t="s">
        <v>37</v>
      </c>
      <c r="B16" s="220"/>
      <c r="C16" s="220"/>
      <c r="D16" s="227"/>
      <c r="E16" s="210"/>
      <c r="F16" s="211"/>
      <c r="G16" s="209">
        <f t="shared" ref="G16:G18" si="5">1.018^(2021-2017)</f>
        <v>1.0739674329760001</v>
      </c>
      <c r="H16" s="224"/>
      <c r="I16" s="224"/>
      <c r="J16" s="214"/>
      <c r="K16" s="239"/>
      <c r="L16" s="202"/>
      <c r="M16" s="199"/>
      <c r="O16" s="232" t="s">
        <v>40</v>
      </c>
      <c r="P16" s="171">
        <v>5020.5027407796524</v>
      </c>
      <c r="Q16" s="172"/>
      <c r="R16" s="170"/>
    </row>
    <row r="17" spans="1:18" x14ac:dyDescent="0.25">
      <c r="A17" s="93" t="s">
        <v>38</v>
      </c>
      <c r="B17" s="236">
        <f>'Road Crash Summary'!C8</f>
        <v>3.0334086500000002</v>
      </c>
      <c r="C17" s="236">
        <f>'Road Crash Summary'!F8</f>
        <v>1.8830065166666663</v>
      </c>
      <c r="D17" s="220">
        <f t="shared" si="4"/>
        <v>1.1504021333333339</v>
      </c>
      <c r="E17" s="210">
        <v>250600</v>
      </c>
      <c r="F17" s="211">
        <v>-2018</v>
      </c>
      <c r="G17" s="209">
        <f>1.018^(2022-2018)</f>
        <v>1.0739674329760001</v>
      </c>
      <c r="H17" s="216">
        <f t="shared" si="0"/>
        <v>269136.23870378564</v>
      </c>
      <c r="I17" s="216">
        <f t="shared" si="1"/>
        <v>309614.90316214436</v>
      </c>
      <c r="J17" s="217">
        <v>1</v>
      </c>
      <c r="K17" s="239">
        <f>I17*J17</f>
        <v>309614.90316214436</v>
      </c>
      <c r="L17" s="202">
        <f>D17*J17</f>
        <v>1.1504021333333339</v>
      </c>
      <c r="M17" s="199" t="s">
        <v>93</v>
      </c>
      <c r="N17" s="75"/>
      <c r="O17" s="233"/>
      <c r="P17" s="173">
        <v>0.54357271043599331</v>
      </c>
      <c r="Q17" s="175" t="s">
        <v>92</v>
      </c>
      <c r="R17" s="170"/>
    </row>
    <row r="18" spans="1:18" x14ac:dyDescent="0.25">
      <c r="A18" s="94" t="s">
        <v>37</v>
      </c>
      <c r="B18" s="236"/>
      <c r="C18" s="236"/>
      <c r="D18" s="220"/>
      <c r="E18" s="210"/>
      <c r="F18" s="211"/>
      <c r="G18" s="209">
        <f t="shared" si="5"/>
        <v>1.0739674329760001</v>
      </c>
      <c r="H18" s="216"/>
      <c r="I18" s="216"/>
      <c r="J18" s="218"/>
      <c r="K18" s="239"/>
      <c r="L18" s="203"/>
      <c r="M18" s="200"/>
      <c r="N18" s="75"/>
      <c r="O18" s="232" t="s">
        <v>41</v>
      </c>
      <c r="P18" s="171">
        <v>7009.5092699781044</v>
      </c>
      <c r="Q18" s="172"/>
      <c r="R18" s="170"/>
    </row>
    <row r="19" spans="1:18" x14ac:dyDescent="0.25">
      <c r="A19" s="60"/>
      <c r="B19" s="60"/>
      <c r="C19" s="60"/>
      <c r="D19" s="60"/>
      <c r="E19" s="60"/>
      <c r="F19" s="60"/>
      <c r="G19" s="60"/>
      <c r="H19" s="60"/>
      <c r="I19" s="60"/>
      <c r="K19" s="60"/>
      <c r="O19" s="233"/>
      <c r="P19" s="173">
        <v>1.6851905125945497E-2</v>
      </c>
      <c r="Q19" s="175" t="s">
        <v>92</v>
      </c>
      <c r="R19" s="170"/>
    </row>
    <row r="20" spans="1:18" ht="15" customHeight="1" x14ac:dyDescent="0.25">
      <c r="A20" s="26" t="s">
        <v>28</v>
      </c>
      <c r="K20" s="176"/>
      <c r="L20" s="204"/>
      <c r="M20" s="206"/>
      <c r="Q20" s="170"/>
      <c r="R20" s="170"/>
    </row>
    <row r="21" spans="1:18" x14ac:dyDescent="0.25">
      <c r="A21" s="26" t="s">
        <v>29</v>
      </c>
      <c r="K21" s="176"/>
      <c r="L21" s="204"/>
      <c r="M21" s="206"/>
      <c r="Q21" s="170"/>
      <c r="R21" s="170"/>
    </row>
    <row r="22" spans="1:18" ht="15" customHeight="1" x14ac:dyDescent="0.25">
      <c r="A22" s="26" t="s">
        <v>30</v>
      </c>
      <c r="K22" s="176"/>
      <c r="L22" s="205"/>
      <c r="M22" s="206"/>
      <c r="Q22" s="170"/>
      <c r="R22" s="170"/>
    </row>
    <row r="23" spans="1:18" x14ac:dyDescent="0.25">
      <c r="A23" s="26" t="s">
        <v>31</v>
      </c>
      <c r="K23" s="176"/>
      <c r="L23" s="205"/>
      <c r="M23" s="206"/>
      <c r="Q23" s="170"/>
      <c r="R23" s="170"/>
    </row>
    <row r="24" spans="1:18" ht="15" customHeight="1" x14ac:dyDescent="0.25">
      <c r="A24" s="26" t="s">
        <v>32</v>
      </c>
      <c r="K24" s="176"/>
      <c r="L24" s="205"/>
      <c r="M24" s="206"/>
      <c r="Q24" s="170"/>
      <c r="R24" s="170"/>
    </row>
    <row r="25" spans="1:18" x14ac:dyDescent="0.25">
      <c r="A25" s="26" t="s">
        <v>69</v>
      </c>
      <c r="K25" s="176"/>
      <c r="L25" s="205"/>
      <c r="M25" s="206"/>
      <c r="Q25" s="170"/>
      <c r="R25" s="170"/>
    </row>
    <row r="26" spans="1:18" x14ac:dyDescent="0.25">
      <c r="A26" s="26" t="s">
        <v>33</v>
      </c>
      <c r="Q26" s="170"/>
      <c r="R26" s="170"/>
    </row>
    <row r="27" spans="1:18" x14ac:dyDescent="0.25">
      <c r="A27" s="26" t="s">
        <v>34</v>
      </c>
      <c r="N27" s="86"/>
    </row>
    <row r="28" spans="1:18" x14ac:dyDescent="0.25">
      <c r="A28" s="26" t="s">
        <v>36</v>
      </c>
    </row>
    <row r="29" spans="1:18" x14ac:dyDescent="0.25">
      <c r="A29" s="26" t="s">
        <v>35</v>
      </c>
    </row>
    <row r="30" spans="1:18" x14ac:dyDescent="0.25">
      <c r="A30" s="26" t="s">
        <v>94</v>
      </c>
    </row>
    <row r="31" spans="1:18" x14ac:dyDescent="0.25">
      <c r="A31" s="9" t="s">
        <v>79</v>
      </c>
      <c r="B31" s="67" t="s">
        <v>80</v>
      </c>
    </row>
    <row r="32" spans="1:18" x14ac:dyDescent="0.25">
      <c r="A32" s="26"/>
    </row>
    <row r="33" spans="1:13" x14ac:dyDescent="0.25">
      <c r="A33" s="234"/>
      <c r="B33" s="235"/>
      <c r="C33" s="235"/>
      <c r="D33" s="235"/>
      <c r="E33" s="235"/>
      <c r="F33" s="235"/>
      <c r="G33" s="235"/>
      <c r="H33" s="235"/>
      <c r="I33" s="235"/>
      <c r="J33" s="235"/>
      <c r="K33" s="235"/>
      <c r="L33" s="235"/>
      <c r="M33" s="235"/>
    </row>
    <row r="34" spans="1:13" x14ac:dyDescent="0.25">
      <c r="A34" s="26"/>
    </row>
    <row r="35" spans="1:13" x14ac:dyDescent="0.25">
      <c r="A35" s="26"/>
    </row>
    <row r="36" spans="1:13" x14ac:dyDescent="0.25">
      <c r="A36" s="26"/>
    </row>
  </sheetData>
  <mergeCells count="77">
    <mergeCell ref="P13:Q13"/>
    <mergeCell ref="O14:O15"/>
    <mergeCell ref="O18:O19"/>
    <mergeCell ref="O16:O17"/>
    <mergeCell ref="A33:M33"/>
    <mergeCell ref="B17:B18"/>
    <mergeCell ref="H17:H18"/>
    <mergeCell ref="G17:G18"/>
    <mergeCell ref="F17:F18"/>
    <mergeCell ref="E17:E18"/>
    <mergeCell ref="C17:C18"/>
    <mergeCell ref="D17:D18"/>
    <mergeCell ref="I15:I16"/>
    <mergeCell ref="J15:J16"/>
    <mergeCell ref="K15:K16"/>
    <mergeCell ref="K17:K18"/>
    <mergeCell ref="K8:K9"/>
    <mergeCell ref="J8:J9"/>
    <mergeCell ref="B8:B9"/>
    <mergeCell ref="C8:C9"/>
    <mergeCell ref="D8:D9"/>
    <mergeCell ref="H8:H9"/>
    <mergeCell ref="I8:I9"/>
    <mergeCell ref="G8:G9"/>
    <mergeCell ref="I17:I18"/>
    <mergeCell ref="J17:J18"/>
    <mergeCell ref="B15:B16"/>
    <mergeCell ref="C15:C16"/>
    <mergeCell ref="E15:E16"/>
    <mergeCell ref="F15:F16"/>
    <mergeCell ref="H15:H16"/>
    <mergeCell ref="G15:G16"/>
    <mergeCell ref="D15:D16"/>
    <mergeCell ref="J12:J13"/>
    <mergeCell ref="K12:K13"/>
    <mergeCell ref="K10:K11"/>
    <mergeCell ref="J10:J11"/>
    <mergeCell ref="I10:I11"/>
    <mergeCell ref="H12:H13"/>
    <mergeCell ref="I12:I13"/>
    <mergeCell ref="D10:D11"/>
    <mergeCell ref="D12:D13"/>
    <mergeCell ref="E12:E13"/>
    <mergeCell ref="F12:F13"/>
    <mergeCell ref="E10:E11"/>
    <mergeCell ref="F10:F11"/>
    <mergeCell ref="H10:H11"/>
    <mergeCell ref="G10:G11"/>
    <mergeCell ref="E2:F2"/>
    <mergeCell ref="B10:B11"/>
    <mergeCell ref="C10:C11"/>
    <mergeCell ref="G12:G13"/>
    <mergeCell ref="C12:C13"/>
    <mergeCell ref="B12:B13"/>
    <mergeCell ref="E8:E9"/>
    <mergeCell ref="F8:F9"/>
    <mergeCell ref="L20:L21"/>
    <mergeCell ref="L22:L23"/>
    <mergeCell ref="L24:L25"/>
    <mergeCell ref="M20:M21"/>
    <mergeCell ref="M22:M23"/>
    <mergeCell ref="M24:M25"/>
    <mergeCell ref="M15:M16"/>
    <mergeCell ref="M17:M18"/>
    <mergeCell ref="L8:L9"/>
    <mergeCell ref="L10:L11"/>
    <mergeCell ref="L12:L13"/>
    <mergeCell ref="L15:L16"/>
    <mergeCell ref="L17:L18"/>
    <mergeCell ref="L3:M3"/>
    <mergeCell ref="L4:M4"/>
    <mergeCell ref="L14:M14"/>
    <mergeCell ref="L1:M1"/>
    <mergeCell ref="L2:M2"/>
    <mergeCell ref="M8:M9"/>
    <mergeCell ref="M10:M11"/>
    <mergeCell ref="M12:M13"/>
  </mergeCells>
  <hyperlinks>
    <hyperlink ref="B31" r:id="rId1"/>
  </hyperlinks>
  <pageMargins left="0.7" right="0.7" top="0.75" bottom="0.75" header="0.3" footer="0.3"/>
  <pageSetup scale="61"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workbookViewId="0">
      <selection sqref="A1:D20"/>
    </sheetView>
  </sheetViews>
  <sheetFormatPr defaultRowHeight="15" x14ac:dyDescent="0.25"/>
  <cols>
    <col min="1" max="1" width="13.140625" bestFit="1" customWidth="1"/>
    <col min="2" max="2" width="9.7109375" customWidth="1"/>
    <col min="3" max="3" width="33.28515625" bestFit="1" customWidth="1"/>
    <col min="4" max="4" width="14.42578125" bestFit="1" customWidth="1"/>
    <col min="5" max="5" width="13.85546875" bestFit="1" customWidth="1"/>
    <col min="6" max="6" width="5.42578125" bestFit="1" customWidth="1"/>
    <col min="7" max="7" width="17" bestFit="1" customWidth="1"/>
    <col min="9" max="9" width="12.42578125" bestFit="1" customWidth="1"/>
    <col min="10" max="10" width="5.5703125" bestFit="1" customWidth="1"/>
    <col min="12" max="12" width="4.7109375" bestFit="1" customWidth="1"/>
    <col min="13" max="13" width="35" bestFit="1" customWidth="1"/>
  </cols>
  <sheetData>
    <row r="1" spans="1:14" x14ac:dyDescent="0.25">
      <c r="A1" s="92" t="s">
        <v>158</v>
      </c>
    </row>
    <row r="2" spans="1:14" x14ac:dyDescent="0.25">
      <c r="A2" s="156">
        <v>201101328751</v>
      </c>
      <c r="B2">
        <v>2011</v>
      </c>
      <c r="C2" t="s">
        <v>157</v>
      </c>
      <c r="D2" t="s">
        <v>153</v>
      </c>
      <c r="E2" s="90">
        <v>40790.668055555558</v>
      </c>
      <c r="F2" t="s">
        <v>152</v>
      </c>
      <c r="G2" t="s">
        <v>151</v>
      </c>
      <c r="H2" t="s">
        <v>150</v>
      </c>
      <c r="I2" t="s">
        <v>149</v>
      </c>
      <c r="J2" t="s">
        <v>148</v>
      </c>
      <c r="K2" t="s">
        <v>147</v>
      </c>
      <c r="L2" t="s">
        <v>156</v>
      </c>
      <c r="M2" t="s">
        <v>145</v>
      </c>
      <c r="N2" t="s">
        <v>144</v>
      </c>
    </row>
    <row r="3" spans="1:14" x14ac:dyDescent="0.25">
      <c r="A3" s="156"/>
      <c r="E3" s="90"/>
    </row>
    <row r="4" spans="1:14" x14ac:dyDescent="0.25">
      <c r="A4" s="92" t="s">
        <v>155</v>
      </c>
    </row>
    <row r="5" spans="1:14" x14ac:dyDescent="0.25">
      <c r="A5" s="156">
        <v>200901283728</v>
      </c>
      <c r="B5">
        <v>2009</v>
      </c>
      <c r="C5" t="s">
        <v>154</v>
      </c>
      <c r="D5" t="s">
        <v>153</v>
      </c>
      <c r="E5" s="90">
        <v>40022.336805555555</v>
      </c>
      <c r="F5" t="s">
        <v>152</v>
      </c>
      <c r="G5" t="s">
        <v>151</v>
      </c>
      <c r="H5" t="s">
        <v>150</v>
      </c>
      <c r="I5" t="s">
        <v>149</v>
      </c>
      <c r="J5" t="s">
        <v>148</v>
      </c>
      <c r="K5" t="s">
        <v>147</v>
      </c>
      <c r="L5" t="s">
        <v>146</v>
      </c>
      <c r="M5" t="s">
        <v>145</v>
      </c>
      <c r="N5" t="s">
        <v>144</v>
      </c>
    </row>
    <row r="6" spans="1:14" x14ac:dyDescent="0.25">
      <c r="A6" s="156"/>
      <c r="E6" s="90"/>
    </row>
    <row r="7" spans="1:14" x14ac:dyDescent="0.25">
      <c r="A7" s="92" t="s">
        <v>143</v>
      </c>
    </row>
    <row r="8" spans="1:14" x14ac:dyDescent="0.25">
      <c r="A8" t="s">
        <v>227</v>
      </c>
    </row>
    <row r="10" spans="1:14" x14ac:dyDescent="0.25">
      <c r="A10" s="92" t="s">
        <v>142</v>
      </c>
    </row>
    <row r="11" spans="1:14" x14ac:dyDescent="0.25">
      <c r="A11" t="s">
        <v>227</v>
      </c>
    </row>
    <row r="13" spans="1:14" x14ac:dyDescent="0.25">
      <c r="A13" s="92" t="s">
        <v>141</v>
      </c>
    </row>
    <row r="14" spans="1:14" x14ac:dyDescent="0.25">
      <c r="A14" t="s">
        <v>227</v>
      </c>
    </row>
    <row r="16" spans="1:14" x14ac:dyDescent="0.25">
      <c r="B16" s="160" t="s">
        <v>5</v>
      </c>
      <c r="C16" s="160" t="s">
        <v>228</v>
      </c>
    </row>
    <row r="17" spans="1:3" x14ac:dyDescent="0.25">
      <c r="A17" t="s">
        <v>158</v>
      </c>
      <c r="B17">
        <v>1</v>
      </c>
      <c r="C17">
        <f>B17/3</f>
        <v>0.33333333333333331</v>
      </c>
    </row>
    <row r="18" spans="1:3" x14ac:dyDescent="0.25">
      <c r="A18" t="s">
        <v>112</v>
      </c>
      <c r="B18">
        <v>0</v>
      </c>
      <c r="C18">
        <f>B18/3</f>
        <v>0</v>
      </c>
    </row>
    <row r="19" spans="1:3" x14ac:dyDescent="0.25">
      <c r="A19" t="s">
        <v>164</v>
      </c>
      <c r="B19">
        <v>1</v>
      </c>
      <c r="C19">
        <f>B19/3</f>
        <v>0.33333333333333331</v>
      </c>
    </row>
    <row r="20" spans="1:3" x14ac:dyDescent="0.25">
      <c r="A20" t="s">
        <v>117</v>
      </c>
      <c r="B20">
        <v>0</v>
      </c>
      <c r="C20">
        <f>B20/3</f>
        <v>0</v>
      </c>
    </row>
  </sheetData>
  <pageMargins left="0.7" right="0.7" top="0.75" bottom="0.75" header="0.3" footer="0.3"/>
  <pageSetup scale="4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zoomScale="85" zoomScaleNormal="85" workbookViewId="0">
      <selection activeCell="R44" sqref="R44"/>
    </sheetView>
  </sheetViews>
  <sheetFormatPr defaultRowHeight="15" x14ac:dyDescent="0.25"/>
  <cols>
    <col min="2" max="2" width="12.28515625" customWidth="1"/>
    <col min="3" max="3" width="34.85546875" bestFit="1" customWidth="1"/>
    <col min="5" max="5" width="14.28515625" customWidth="1"/>
  </cols>
  <sheetData>
    <row r="1" spans="1:4" x14ac:dyDescent="0.25">
      <c r="A1" s="161">
        <v>2011</v>
      </c>
    </row>
    <row r="2" spans="1:4" x14ac:dyDescent="0.25">
      <c r="A2">
        <v>20110971</v>
      </c>
      <c r="B2" s="91">
        <v>40709</v>
      </c>
      <c r="C2" t="s">
        <v>161</v>
      </c>
    </row>
    <row r="3" spans="1:4" x14ac:dyDescent="0.25">
      <c r="A3">
        <v>20111405</v>
      </c>
      <c r="B3" s="91">
        <v>40786</v>
      </c>
      <c r="C3" t="s">
        <v>161</v>
      </c>
    </row>
    <row r="4" spans="1:4" x14ac:dyDescent="0.25">
      <c r="A4">
        <v>20111498</v>
      </c>
      <c r="B4" s="91">
        <v>40801</v>
      </c>
      <c r="C4" t="s">
        <v>161</v>
      </c>
    </row>
    <row r="5" spans="1:4" x14ac:dyDescent="0.25">
      <c r="A5">
        <v>20111540</v>
      </c>
      <c r="B5" s="91">
        <v>40812</v>
      </c>
      <c r="C5" t="s">
        <v>161</v>
      </c>
      <c r="D5" t="s">
        <v>112</v>
      </c>
    </row>
    <row r="6" spans="1:4" x14ac:dyDescent="0.25">
      <c r="A6">
        <v>20112045</v>
      </c>
      <c r="B6" s="91">
        <v>40893</v>
      </c>
      <c r="C6" t="s">
        <v>159</v>
      </c>
    </row>
    <row r="7" spans="1:4" x14ac:dyDescent="0.25">
      <c r="B7" s="91"/>
    </row>
    <row r="8" spans="1:4" x14ac:dyDescent="0.25">
      <c r="A8" s="161">
        <v>2012</v>
      </c>
      <c r="B8" s="91"/>
    </row>
    <row r="9" spans="1:4" x14ac:dyDescent="0.25">
      <c r="A9">
        <v>20120075</v>
      </c>
      <c r="B9" s="91">
        <v>40917</v>
      </c>
      <c r="C9" t="s">
        <v>160</v>
      </c>
      <c r="D9" t="s">
        <v>164</v>
      </c>
    </row>
    <row r="10" spans="1:4" x14ac:dyDescent="0.25">
      <c r="A10">
        <v>20120311</v>
      </c>
      <c r="B10" s="91">
        <v>40963</v>
      </c>
      <c r="C10" t="s">
        <v>159</v>
      </c>
    </row>
    <row r="11" spans="1:4" x14ac:dyDescent="0.25">
      <c r="A11">
        <v>20120702</v>
      </c>
      <c r="B11" s="91">
        <v>41043</v>
      </c>
      <c r="C11" t="s">
        <v>160</v>
      </c>
      <c r="D11" t="s">
        <v>112</v>
      </c>
    </row>
    <row r="12" spans="1:4" x14ac:dyDescent="0.25">
      <c r="A12">
        <v>20120749</v>
      </c>
      <c r="B12" s="91">
        <v>41052</v>
      </c>
      <c r="C12" t="s">
        <v>159</v>
      </c>
    </row>
    <row r="13" spans="1:4" x14ac:dyDescent="0.25">
      <c r="A13">
        <v>20120864</v>
      </c>
      <c r="B13" s="91">
        <v>41072</v>
      </c>
      <c r="C13" t="s">
        <v>159</v>
      </c>
      <c r="D13" t="s">
        <v>114</v>
      </c>
    </row>
    <row r="14" spans="1:4" x14ac:dyDescent="0.25">
      <c r="A14">
        <v>20120960</v>
      </c>
      <c r="B14" s="91">
        <v>41079</v>
      </c>
      <c r="C14" t="s">
        <v>161</v>
      </c>
    </row>
    <row r="15" spans="1:4" x14ac:dyDescent="0.25">
      <c r="A15">
        <v>20121010</v>
      </c>
      <c r="B15" s="91">
        <v>41100</v>
      </c>
      <c r="C15" t="s">
        <v>159</v>
      </c>
    </row>
    <row r="16" spans="1:4" x14ac:dyDescent="0.25">
      <c r="A16">
        <v>20121260</v>
      </c>
      <c r="B16" s="91">
        <v>41142</v>
      </c>
      <c r="C16" t="s">
        <v>159</v>
      </c>
    </row>
    <row r="17" spans="1:4" x14ac:dyDescent="0.25">
      <c r="A17">
        <v>20121373</v>
      </c>
      <c r="B17" s="91">
        <v>41145</v>
      </c>
      <c r="C17" t="s">
        <v>163</v>
      </c>
    </row>
    <row r="18" spans="1:4" x14ac:dyDescent="0.25">
      <c r="B18" s="91"/>
    </row>
    <row r="19" spans="1:4" x14ac:dyDescent="0.25">
      <c r="A19" s="161">
        <v>2013</v>
      </c>
      <c r="B19" s="91"/>
    </row>
    <row r="20" spans="1:4" x14ac:dyDescent="0.25">
      <c r="A20">
        <v>20130715</v>
      </c>
      <c r="B20" s="91">
        <v>41390</v>
      </c>
      <c r="C20" t="s">
        <v>160</v>
      </c>
    </row>
    <row r="21" spans="1:4" x14ac:dyDescent="0.25">
      <c r="A21">
        <v>20131213</v>
      </c>
      <c r="B21" s="91">
        <v>41477</v>
      </c>
      <c r="C21" t="s">
        <v>161</v>
      </c>
    </row>
    <row r="22" spans="1:4" x14ac:dyDescent="0.25">
      <c r="A22">
        <v>20131330</v>
      </c>
      <c r="B22" s="91">
        <v>41499</v>
      </c>
      <c r="C22" t="s">
        <v>162</v>
      </c>
    </row>
    <row r="23" spans="1:4" x14ac:dyDescent="0.25">
      <c r="A23">
        <v>20131382</v>
      </c>
      <c r="B23" s="91">
        <v>41508</v>
      </c>
      <c r="C23" t="s">
        <v>161</v>
      </c>
    </row>
    <row r="24" spans="1:4" x14ac:dyDescent="0.25">
      <c r="A24">
        <v>10131523</v>
      </c>
      <c r="B24" s="91">
        <v>41533</v>
      </c>
      <c r="C24" t="s">
        <v>159</v>
      </c>
    </row>
    <row r="25" spans="1:4" x14ac:dyDescent="0.25">
      <c r="A25">
        <v>20131696</v>
      </c>
      <c r="B25" s="91">
        <v>41563</v>
      </c>
      <c r="C25" t="s">
        <v>161</v>
      </c>
    </row>
    <row r="26" spans="1:4" x14ac:dyDescent="0.25">
      <c r="A26">
        <v>20131090</v>
      </c>
      <c r="B26" s="91">
        <v>41456</v>
      </c>
      <c r="C26" t="s">
        <v>160</v>
      </c>
      <c r="D26" t="s">
        <v>114</v>
      </c>
    </row>
    <row r="27" spans="1:4" x14ac:dyDescent="0.25">
      <c r="B27" s="91"/>
    </row>
    <row r="28" spans="1:4" x14ac:dyDescent="0.25">
      <c r="A28" s="161">
        <v>2014</v>
      </c>
      <c r="B28" s="91"/>
    </row>
    <row r="29" spans="1:4" x14ac:dyDescent="0.25">
      <c r="A29">
        <v>20140083</v>
      </c>
      <c r="B29" s="91">
        <v>41652</v>
      </c>
      <c r="C29" t="s">
        <v>159</v>
      </c>
      <c r="D29" t="s">
        <v>112</v>
      </c>
    </row>
    <row r="30" spans="1:4" x14ac:dyDescent="0.25">
      <c r="A30">
        <v>20140364</v>
      </c>
      <c r="B30" s="91">
        <v>41688</v>
      </c>
      <c r="C30" t="s">
        <v>159</v>
      </c>
    </row>
    <row r="31" spans="1:4" x14ac:dyDescent="0.25">
      <c r="A31">
        <v>20140427</v>
      </c>
      <c r="B31" s="91">
        <v>41695</v>
      </c>
      <c r="C31" t="s">
        <v>159</v>
      </c>
    </row>
    <row r="32" spans="1:4" x14ac:dyDescent="0.25">
      <c r="B32" s="91"/>
    </row>
    <row r="33" spans="1:3" x14ac:dyDescent="0.25">
      <c r="B33" s="160" t="s">
        <v>5</v>
      </c>
      <c r="C33" s="160" t="s">
        <v>229</v>
      </c>
    </row>
    <row r="34" spans="1:3" x14ac:dyDescent="0.25">
      <c r="A34" s="92" t="s">
        <v>114</v>
      </c>
      <c r="B34">
        <v>2</v>
      </c>
      <c r="C34">
        <f>B34/3</f>
        <v>0.66666666666666663</v>
      </c>
    </row>
    <row r="35" spans="1:3" x14ac:dyDescent="0.25">
      <c r="A35" s="92" t="s">
        <v>112</v>
      </c>
      <c r="B35">
        <v>3</v>
      </c>
      <c r="C35">
        <f>B35/3</f>
        <v>1</v>
      </c>
    </row>
    <row r="36" spans="1:3" x14ac:dyDescent="0.25">
      <c r="A36" s="92" t="s">
        <v>164</v>
      </c>
      <c r="B36">
        <v>1</v>
      </c>
      <c r="C36">
        <f>B36/3</f>
        <v>0.33333333333333331</v>
      </c>
    </row>
    <row r="37" spans="1:3" x14ac:dyDescent="0.25">
      <c r="A37" s="92" t="s">
        <v>117</v>
      </c>
      <c r="B37">
        <f>24-SUM(B34:B36)</f>
        <v>18</v>
      </c>
      <c r="C37">
        <f>B37/3</f>
        <v>6</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zoomScaleNormal="100" workbookViewId="0">
      <selection activeCell="I14" sqref="A1:I14"/>
    </sheetView>
  </sheetViews>
  <sheetFormatPr defaultColWidth="10.42578125" defaultRowHeight="15" x14ac:dyDescent="0.25"/>
  <cols>
    <col min="1" max="1" width="28.140625" style="87" bestFit="1" customWidth="1"/>
    <col min="2" max="2" width="9" style="87" bestFit="1" customWidth="1"/>
    <col min="3" max="3" width="8.85546875" style="87" customWidth="1"/>
    <col min="4" max="4" width="20.42578125" style="87" bestFit="1" customWidth="1"/>
    <col min="5" max="5" width="6.42578125" style="87" bestFit="1" customWidth="1"/>
    <col min="6" max="6" width="10.42578125" style="87" bestFit="1" customWidth="1"/>
    <col min="7" max="7" width="14.5703125" style="87" bestFit="1" customWidth="1"/>
    <col min="8" max="8" width="10.85546875" style="87" customWidth="1"/>
    <col min="9" max="9" width="13.140625" style="87" customWidth="1"/>
    <col min="10" max="10" width="21" style="87" bestFit="1" customWidth="1"/>
    <col min="11" max="16384" width="10.42578125" style="87"/>
  </cols>
  <sheetData>
    <row r="1" spans="1:9" x14ac:dyDescent="0.25">
      <c r="A1" s="276"/>
      <c r="B1" s="274" t="s">
        <v>115</v>
      </c>
      <c r="C1" s="177" t="s">
        <v>114</v>
      </c>
      <c r="D1" s="275" t="s">
        <v>113</v>
      </c>
      <c r="E1" s="177" t="s">
        <v>112</v>
      </c>
      <c r="F1" s="177" t="s">
        <v>111</v>
      </c>
      <c r="G1" s="178" t="s">
        <v>110</v>
      </c>
      <c r="H1" s="274" t="s">
        <v>109</v>
      </c>
      <c r="I1" s="274" t="s">
        <v>108</v>
      </c>
    </row>
    <row r="2" spans="1:9" ht="30" x14ac:dyDescent="0.25">
      <c r="A2" s="276"/>
      <c r="B2" s="274"/>
      <c r="C2" s="179" t="s">
        <v>107</v>
      </c>
      <c r="D2" s="275"/>
      <c r="E2" s="179" t="s">
        <v>107</v>
      </c>
      <c r="F2" s="179" t="s">
        <v>106</v>
      </c>
      <c r="G2" s="180" t="s">
        <v>105</v>
      </c>
      <c r="H2" s="274"/>
      <c r="I2" s="274"/>
    </row>
    <row r="3" spans="1:9" x14ac:dyDescent="0.25">
      <c r="A3" s="181" t="s">
        <v>100</v>
      </c>
      <c r="B3" s="182">
        <v>23666.521021375454</v>
      </c>
      <c r="C3" s="181">
        <v>2.9051E-2</v>
      </c>
      <c r="D3" s="181" t="s">
        <v>104</v>
      </c>
      <c r="E3" s="181">
        <v>0.23</v>
      </c>
      <c r="F3" s="181">
        <v>5</v>
      </c>
      <c r="G3" s="181">
        <f>C3*E3*F3</f>
        <v>3.3408649999999998E-2</v>
      </c>
      <c r="H3" s="181"/>
      <c r="I3" s="181"/>
    </row>
    <row r="4" spans="1:9" ht="15.75" customHeight="1" thickBot="1" x14ac:dyDescent="0.3">
      <c r="A4" s="183"/>
      <c r="B4" s="183"/>
      <c r="C4" s="183"/>
      <c r="D4" s="183"/>
      <c r="E4" s="183"/>
      <c r="F4" s="183"/>
      <c r="G4" s="183"/>
      <c r="H4" s="183">
        <f>G3</f>
        <v>3.3408649999999998E-2</v>
      </c>
      <c r="I4" s="183"/>
    </row>
    <row r="5" spans="1:9" x14ac:dyDescent="0.25">
      <c r="A5" s="184" t="s">
        <v>99</v>
      </c>
      <c r="B5" s="185">
        <v>18878.312800078857</v>
      </c>
      <c r="C5" s="184">
        <v>2.1735999999999998E-2</v>
      </c>
      <c r="D5" s="184" t="s">
        <v>103</v>
      </c>
      <c r="E5" s="184">
        <v>0.08</v>
      </c>
      <c r="F5" s="184">
        <v>5</v>
      </c>
      <c r="G5" s="184">
        <f>C5*E5*F5</f>
        <v>8.6943999999999997E-3</v>
      </c>
      <c r="H5" s="184"/>
      <c r="I5" s="184"/>
    </row>
    <row r="6" spans="1:9" ht="15.75" thickBot="1" x14ac:dyDescent="0.3">
      <c r="A6" s="183" t="s">
        <v>98</v>
      </c>
      <c r="B6" s="186">
        <v>17100.434038369302</v>
      </c>
      <c r="C6" s="183">
        <v>2.1735999999999998E-2</v>
      </c>
      <c r="D6" s="183" t="s">
        <v>103</v>
      </c>
      <c r="E6" s="183">
        <v>0.08</v>
      </c>
      <c r="F6" s="183">
        <v>5</v>
      </c>
      <c r="G6" s="183">
        <f>C6*E6*F6</f>
        <v>8.6943999999999997E-3</v>
      </c>
      <c r="H6" s="183"/>
      <c r="I6" s="183"/>
    </row>
    <row r="7" spans="1:9" x14ac:dyDescent="0.25">
      <c r="A7" s="184"/>
      <c r="B7" s="184"/>
      <c r="C7" s="184"/>
      <c r="D7" s="184"/>
      <c r="E7" s="184"/>
      <c r="F7" s="184"/>
      <c r="G7" s="184"/>
      <c r="H7" s="184">
        <f>SUM(G5:G6)</f>
        <v>1.7388799999999999E-2</v>
      </c>
      <c r="I7" s="184">
        <f>G3-H7</f>
        <v>1.6019849999999999E-2</v>
      </c>
    </row>
    <row r="8" spans="1:9" x14ac:dyDescent="0.25">
      <c r="A8" s="187"/>
      <c r="B8" s="187"/>
      <c r="C8" s="187"/>
      <c r="D8" s="187"/>
      <c r="E8" s="188"/>
      <c r="F8" s="187"/>
      <c r="G8" s="187"/>
      <c r="H8" s="187"/>
      <c r="I8" s="187"/>
    </row>
    <row r="9" spans="1:9" x14ac:dyDescent="0.25">
      <c r="A9" s="187"/>
      <c r="B9" s="187"/>
      <c r="C9" s="188">
        <v>0.03</v>
      </c>
      <c r="D9" s="187"/>
      <c r="E9" s="187"/>
      <c r="F9" s="187"/>
      <c r="G9" s="187"/>
      <c r="H9" s="187"/>
      <c r="I9" s="187"/>
    </row>
    <row r="10" spans="1:9" x14ac:dyDescent="0.25">
      <c r="A10" s="187"/>
      <c r="B10" s="187" t="s">
        <v>102</v>
      </c>
      <c r="C10" s="187" t="s">
        <v>101</v>
      </c>
      <c r="D10" s="187"/>
      <c r="E10" s="187"/>
      <c r="F10" s="187"/>
      <c r="G10" s="187"/>
      <c r="H10" s="187"/>
      <c r="I10" s="187"/>
    </row>
    <row r="11" spans="1:9" x14ac:dyDescent="0.25">
      <c r="A11" s="187" t="s">
        <v>100</v>
      </c>
      <c r="B11" s="187">
        <v>32760</v>
      </c>
      <c r="C11" s="189">
        <f>B11*(1+$C$9)^-11</f>
        <v>23666.521021375454</v>
      </c>
      <c r="D11" s="187"/>
      <c r="E11" s="187"/>
      <c r="F11" s="187"/>
      <c r="G11" s="187"/>
      <c r="H11" s="187"/>
      <c r="I11" s="187"/>
    </row>
    <row r="12" spans="1:9" x14ac:dyDescent="0.25">
      <c r="A12" s="187"/>
      <c r="B12" s="187"/>
      <c r="C12" s="187"/>
      <c r="D12" s="187"/>
      <c r="E12" s="187"/>
      <c r="F12" s="187"/>
      <c r="G12" s="187"/>
      <c r="H12" s="187"/>
      <c r="I12" s="187"/>
    </row>
    <row r="13" spans="1:9" x14ac:dyDescent="0.25">
      <c r="A13" s="187" t="s">
        <v>99</v>
      </c>
      <c r="B13" s="187">
        <v>26132</v>
      </c>
      <c r="C13" s="189">
        <f>B13*(1+$C$9)^-11</f>
        <v>18878.312800078857</v>
      </c>
      <c r="D13" s="187"/>
      <c r="E13" s="187"/>
      <c r="F13" s="187"/>
      <c r="G13" s="187"/>
      <c r="H13" s="187"/>
      <c r="I13" s="187"/>
    </row>
    <row r="14" spans="1:9" x14ac:dyDescent="0.25">
      <c r="A14" s="187" t="s">
        <v>98</v>
      </c>
      <c r="B14" s="187">
        <v>23671</v>
      </c>
      <c r="C14" s="189">
        <f>B14*(1+$C$9)^-11</f>
        <v>17100.434038369302</v>
      </c>
      <c r="D14" s="187"/>
      <c r="E14" s="187"/>
      <c r="F14" s="187"/>
      <c r="G14" s="187"/>
      <c r="H14" s="187"/>
      <c r="I14" s="187"/>
    </row>
  </sheetData>
  <mergeCells count="5">
    <mergeCell ref="B1:B2"/>
    <mergeCell ref="D1:D2"/>
    <mergeCell ref="H1:H2"/>
    <mergeCell ref="I1:I2"/>
    <mergeCell ref="A1:A2"/>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showGridLines="0" zoomScaleNormal="100" workbookViewId="0">
      <selection activeCell="O13" sqref="O13"/>
    </sheetView>
  </sheetViews>
  <sheetFormatPr defaultRowHeight="15" x14ac:dyDescent="0.25"/>
  <cols>
    <col min="1" max="2" width="8.7109375" customWidth="1"/>
    <col min="3" max="8" width="15.140625" customWidth="1"/>
    <col min="9" max="9" width="6.28515625" customWidth="1"/>
    <col min="10" max="17" width="13.5703125" bestFit="1" customWidth="1"/>
    <col min="19" max="19" width="14.5703125" bestFit="1" customWidth="1"/>
  </cols>
  <sheetData>
    <row r="1" spans="1:9" x14ac:dyDescent="0.25">
      <c r="A1" s="22" t="s">
        <v>15</v>
      </c>
      <c r="B1" s="22" t="s">
        <v>16</v>
      </c>
      <c r="C1" s="22" t="s">
        <v>17</v>
      </c>
      <c r="D1" s="22" t="s">
        <v>18</v>
      </c>
      <c r="E1" s="22" t="s">
        <v>19</v>
      </c>
      <c r="F1" s="22" t="s">
        <v>20</v>
      </c>
      <c r="G1" s="22" t="s">
        <v>21</v>
      </c>
      <c r="H1" s="22" t="s">
        <v>22</v>
      </c>
      <c r="I1" s="21"/>
    </row>
    <row r="2" spans="1:9" x14ac:dyDescent="0.25">
      <c r="A2" s="62"/>
      <c r="B2" s="61"/>
      <c r="C2" s="240" t="s">
        <v>65</v>
      </c>
      <c r="D2" s="241"/>
      <c r="E2" s="240" t="s">
        <v>67</v>
      </c>
      <c r="F2" s="240"/>
      <c r="G2" s="242" t="s">
        <v>42</v>
      </c>
      <c r="H2" s="241"/>
      <c r="I2" s="33"/>
    </row>
    <row r="3" spans="1:9" s="5" customFormat="1" ht="30.75" thickBot="1" x14ac:dyDescent="0.3">
      <c r="A3" s="35" t="s">
        <v>12</v>
      </c>
      <c r="B3" s="18" t="s">
        <v>13</v>
      </c>
      <c r="C3" s="34" t="s">
        <v>25</v>
      </c>
      <c r="D3" s="34" t="s">
        <v>26</v>
      </c>
      <c r="E3" s="35" t="s">
        <v>25</v>
      </c>
      <c r="F3" s="34" t="s">
        <v>26</v>
      </c>
      <c r="G3" s="35" t="s">
        <v>25</v>
      </c>
      <c r="H3" s="34" t="s">
        <v>26</v>
      </c>
      <c r="I3" s="36"/>
    </row>
    <row r="4" spans="1:9" s="5" customFormat="1" x14ac:dyDescent="0.25">
      <c r="A4" s="20">
        <v>0</v>
      </c>
      <c r="B4" s="19">
        <v>2021</v>
      </c>
      <c r="C4" s="39">
        <v>0</v>
      </c>
      <c r="D4" s="40">
        <v>4000000</v>
      </c>
      <c r="E4" s="41">
        <v>0</v>
      </c>
      <c r="F4" s="65">
        <v>4000000</v>
      </c>
      <c r="G4" s="39">
        <v>0</v>
      </c>
      <c r="H4" s="40">
        <f>(F4)/(1.07^A4)</f>
        <v>4000000</v>
      </c>
    </row>
    <row r="5" spans="1:9" s="5" customFormat="1" x14ac:dyDescent="0.25">
      <c r="A5" s="20">
        <v>1</v>
      </c>
      <c r="B5" s="19">
        <f>B4+1</f>
        <v>2022</v>
      </c>
      <c r="C5" s="39">
        <v>0</v>
      </c>
      <c r="D5" s="40">
        <v>3750000</v>
      </c>
      <c r="E5" s="41">
        <v>0</v>
      </c>
      <c r="F5" s="42">
        <v>3750000</v>
      </c>
      <c r="G5" s="39">
        <v>0</v>
      </c>
      <c r="H5" s="40">
        <f>F5</f>
        <v>3750000</v>
      </c>
    </row>
    <row r="6" spans="1:9" s="5" customFormat="1" x14ac:dyDescent="0.25">
      <c r="A6" s="20">
        <f>A5+1</f>
        <v>2</v>
      </c>
      <c r="B6" s="19">
        <f t="shared" ref="B6:B35" si="0">B5+1</f>
        <v>2023</v>
      </c>
      <c r="C6" s="39">
        <f>'Total Benefits'!$K$3</f>
        <v>918911.13676652533</v>
      </c>
      <c r="D6" s="40">
        <f>Maintenance!D5</f>
        <v>0</v>
      </c>
      <c r="E6" s="41">
        <f>C6*1.018^(A6-1)</f>
        <v>935451.53722832282</v>
      </c>
      <c r="F6" s="42">
        <f t="shared" ref="F6:F35" si="1">D6*1.0025^A6</f>
        <v>0</v>
      </c>
      <c r="G6" s="39">
        <f>(E6)/(1.07^(A6-1))</f>
        <v>874253.77311058203</v>
      </c>
      <c r="H6" s="40">
        <f t="shared" ref="H6:H35" si="2">(F6)/(1.07^A6)</f>
        <v>0</v>
      </c>
    </row>
    <row r="7" spans="1:9" s="5" customFormat="1" x14ac:dyDescent="0.25">
      <c r="A7" s="20">
        <v>4</v>
      </c>
      <c r="B7" s="19">
        <f t="shared" si="0"/>
        <v>2024</v>
      </c>
      <c r="C7" s="39">
        <f>'Total Benefits'!$K$3</f>
        <v>918911.13676652533</v>
      </c>
      <c r="D7" s="40">
        <f>Maintenance!D6</f>
        <v>0</v>
      </c>
      <c r="E7" s="41">
        <f t="shared" ref="E7:E35" si="3">C7*1.018^(A7-1)</f>
        <v>969430.87886660441</v>
      </c>
      <c r="F7" s="42">
        <f t="shared" si="1"/>
        <v>0</v>
      </c>
      <c r="G7" s="39">
        <f t="shared" ref="G7:G34" si="4">(E7)/(1.07^(A7-1))</f>
        <v>791344.36821124179</v>
      </c>
      <c r="H7" s="40">
        <f t="shared" si="2"/>
        <v>0</v>
      </c>
    </row>
    <row r="8" spans="1:9" s="5" customFormat="1" x14ac:dyDescent="0.25">
      <c r="A8" s="20">
        <v>5</v>
      </c>
      <c r="B8" s="19">
        <f t="shared" si="0"/>
        <v>2025</v>
      </c>
      <c r="C8" s="39">
        <f>'Total Benefits'!$K$3</f>
        <v>918911.13676652533</v>
      </c>
      <c r="D8" s="40">
        <f>Maintenance!D7</f>
        <v>0</v>
      </c>
      <c r="E8" s="41">
        <f t="shared" si="3"/>
        <v>986880.63468620332</v>
      </c>
      <c r="F8" s="42">
        <f t="shared" si="1"/>
        <v>0</v>
      </c>
      <c r="G8" s="39">
        <f t="shared" si="4"/>
        <v>752886.51106452732</v>
      </c>
      <c r="H8" s="40">
        <f t="shared" si="2"/>
        <v>0</v>
      </c>
    </row>
    <row r="9" spans="1:9" s="5" customFormat="1" x14ac:dyDescent="0.25">
      <c r="A9" s="20">
        <v>6</v>
      </c>
      <c r="B9" s="19">
        <f t="shared" si="0"/>
        <v>2026</v>
      </c>
      <c r="C9" s="39">
        <f>'Total Benefits'!$K$3</f>
        <v>918911.13676652533</v>
      </c>
      <c r="D9" s="40">
        <f>Maintenance!D8</f>
        <v>0</v>
      </c>
      <c r="E9" s="41">
        <f t="shared" si="3"/>
        <v>1004644.486110555</v>
      </c>
      <c r="F9" s="42">
        <f t="shared" si="1"/>
        <v>0</v>
      </c>
      <c r="G9" s="39">
        <f t="shared" si="4"/>
        <v>716297.63389129797</v>
      </c>
      <c r="H9" s="40">
        <f t="shared" si="2"/>
        <v>0</v>
      </c>
    </row>
    <row r="10" spans="1:9" s="5" customFormat="1" x14ac:dyDescent="0.25">
      <c r="A10" s="20">
        <v>7</v>
      </c>
      <c r="B10" s="19">
        <f t="shared" si="0"/>
        <v>2027</v>
      </c>
      <c r="C10" s="39">
        <f>'Total Benefits'!$K$3</f>
        <v>918911.13676652533</v>
      </c>
      <c r="D10" s="40">
        <f>Maintenance!D9</f>
        <v>0</v>
      </c>
      <c r="E10" s="41">
        <f t="shared" si="3"/>
        <v>1022728.086860545</v>
      </c>
      <c r="F10" s="42">
        <f t="shared" si="1"/>
        <v>0</v>
      </c>
      <c r="G10" s="39">
        <f t="shared" si="4"/>
        <v>681486.90775826294</v>
      </c>
      <c r="H10" s="40">
        <f t="shared" si="2"/>
        <v>0</v>
      </c>
    </row>
    <row r="11" spans="1:9" s="5" customFormat="1" x14ac:dyDescent="0.25">
      <c r="A11" s="20">
        <v>8</v>
      </c>
      <c r="B11" s="19">
        <f t="shared" si="0"/>
        <v>2028</v>
      </c>
      <c r="C11" s="39">
        <f>'Total Benefits'!$K$3</f>
        <v>918911.13676652533</v>
      </c>
      <c r="D11" s="40">
        <f>Maintenance!D10</f>
        <v>0</v>
      </c>
      <c r="E11" s="41">
        <f t="shared" si="3"/>
        <v>1041137.1924240349</v>
      </c>
      <c r="F11" s="42">
        <f t="shared" si="1"/>
        <v>0</v>
      </c>
      <c r="G11" s="39">
        <f t="shared" si="4"/>
        <v>648367.91784851567</v>
      </c>
      <c r="H11" s="40">
        <f t="shared" si="2"/>
        <v>0</v>
      </c>
    </row>
    <row r="12" spans="1:9" s="5" customFormat="1" x14ac:dyDescent="0.25">
      <c r="A12" s="20">
        <v>9</v>
      </c>
      <c r="B12" s="19">
        <f t="shared" si="0"/>
        <v>2029</v>
      </c>
      <c r="C12" s="39">
        <f>'Total Benefits'!$K$3</f>
        <v>918911.13676652533</v>
      </c>
      <c r="D12" s="40">
        <f>Maintenance!D11</f>
        <v>0</v>
      </c>
      <c r="E12" s="41">
        <f t="shared" si="3"/>
        <v>1059877.6618876674</v>
      </c>
      <c r="F12" s="42">
        <f t="shared" si="1"/>
        <v>0</v>
      </c>
      <c r="G12" s="39">
        <f t="shared" si="4"/>
        <v>616858.44894372788</v>
      </c>
      <c r="H12" s="40">
        <f t="shared" si="2"/>
        <v>0</v>
      </c>
    </row>
    <row r="13" spans="1:9" s="5" customFormat="1" x14ac:dyDescent="0.25">
      <c r="A13" s="20">
        <v>10</v>
      </c>
      <c r="B13" s="19">
        <f t="shared" si="0"/>
        <v>2030</v>
      </c>
      <c r="C13" s="39">
        <f>'Total Benefits'!$K$3</f>
        <v>918911.13676652533</v>
      </c>
      <c r="D13" s="40">
        <f>Maintenance!D12</f>
        <v>0</v>
      </c>
      <c r="E13" s="41">
        <f t="shared" si="3"/>
        <v>1078955.4598016455</v>
      </c>
      <c r="F13" s="42">
        <f t="shared" si="1"/>
        <v>0</v>
      </c>
      <c r="G13" s="39">
        <f t="shared" si="4"/>
        <v>586880.28133150924</v>
      </c>
      <c r="H13" s="40">
        <f t="shared" si="2"/>
        <v>0</v>
      </c>
    </row>
    <row r="14" spans="1:9" s="5" customFormat="1" x14ac:dyDescent="0.25">
      <c r="A14" s="20">
        <v>11</v>
      </c>
      <c r="B14" s="19">
        <f t="shared" si="0"/>
        <v>2031</v>
      </c>
      <c r="C14" s="39">
        <f>'Total Benefits'!$K$3</f>
        <v>918911.13676652533</v>
      </c>
      <c r="D14" s="40">
        <f>Maintenance!D13</f>
        <v>0</v>
      </c>
      <c r="E14" s="41">
        <f t="shared" si="3"/>
        <v>1098376.6580780752</v>
      </c>
      <c r="F14" s="42">
        <f t="shared" si="1"/>
        <v>0</v>
      </c>
      <c r="G14" s="39">
        <f t="shared" si="4"/>
        <v>558358.99663128646</v>
      </c>
      <c r="H14" s="40">
        <f t="shared" si="2"/>
        <v>0</v>
      </c>
    </row>
    <row r="15" spans="1:9" s="5" customFormat="1" x14ac:dyDescent="0.25">
      <c r="A15" s="20">
        <v>12</v>
      </c>
      <c r="B15" s="19">
        <f t="shared" si="0"/>
        <v>2032</v>
      </c>
      <c r="C15" s="39">
        <f>'Total Benefits'!$K$3</f>
        <v>918911.13676652533</v>
      </c>
      <c r="D15" s="40">
        <f>Maintenance!D14</f>
        <v>0</v>
      </c>
      <c r="E15" s="41">
        <f t="shared" si="3"/>
        <v>1118147.4379234805</v>
      </c>
      <c r="F15" s="42">
        <f t="shared" si="1"/>
        <v>0</v>
      </c>
      <c r="G15" s="39">
        <f t="shared" si="4"/>
        <v>531223.79305668187</v>
      </c>
      <c r="H15" s="40">
        <f>(F15)/(1.07^A15)</f>
        <v>0</v>
      </c>
    </row>
    <row r="16" spans="1:9" s="5" customFormat="1" x14ac:dyDescent="0.25">
      <c r="A16" s="20">
        <v>13</v>
      </c>
      <c r="B16" s="19">
        <f t="shared" si="0"/>
        <v>2033</v>
      </c>
      <c r="C16" s="39">
        <f>'Total Benefits'!$K$3</f>
        <v>918911.13676652533</v>
      </c>
      <c r="D16" s="40">
        <f>Maintenance!D15</f>
        <v>0</v>
      </c>
      <c r="E16" s="41">
        <f t="shared" si="3"/>
        <v>1138274.091806103</v>
      </c>
      <c r="F16" s="42">
        <f t="shared" si="1"/>
        <v>0</v>
      </c>
      <c r="G16" s="39">
        <f t="shared" si="4"/>
        <v>505407.30965579639</v>
      </c>
      <c r="H16" s="40">
        <f t="shared" si="2"/>
        <v>0</v>
      </c>
    </row>
    <row r="17" spans="1:12" s="5" customFormat="1" x14ac:dyDescent="0.25">
      <c r="A17" s="20">
        <v>14</v>
      </c>
      <c r="B17" s="19">
        <f t="shared" si="0"/>
        <v>2034</v>
      </c>
      <c r="C17" s="39">
        <f>'Total Benefits'!$K$3</f>
        <v>918911.13676652533</v>
      </c>
      <c r="D17" s="40">
        <f>Maintenance!D16</f>
        <v>1135329</v>
      </c>
      <c r="E17" s="41">
        <f t="shared" si="3"/>
        <v>1158763.0254586132</v>
      </c>
      <c r="F17" s="42">
        <f t="shared" si="1"/>
        <v>1175717.7351683748</v>
      </c>
      <c r="G17" s="39">
        <f t="shared" si="4"/>
        <v>480845.45909308485</v>
      </c>
      <c r="H17" s="40">
        <f>(F17)/(1.07^A17)</f>
        <v>455963.60826813697</v>
      </c>
    </row>
    <row r="18" spans="1:12" s="5" customFormat="1" x14ac:dyDescent="0.25">
      <c r="A18" s="20">
        <v>15</v>
      </c>
      <c r="B18" s="19">
        <f t="shared" si="0"/>
        <v>2035</v>
      </c>
      <c r="C18" s="39">
        <f>'Total Benefits'!$K$3</f>
        <v>918911.13676652533</v>
      </c>
      <c r="D18" s="40">
        <f>Maintenance!D17</f>
        <v>0</v>
      </c>
      <c r="E18" s="41">
        <f t="shared" si="3"/>
        <v>1179620.7599168681</v>
      </c>
      <c r="F18" s="42">
        <f t="shared" si="1"/>
        <v>0</v>
      </c>
      <c r="G18" s="39">
        <f t="shared" si="4"/>
        <v>457477.26855771994</v>
      </c>
      <c r="H18" s="40">
        <f t="shared" si="2"/>
        <v>0</v>
      </c>
    </row>
    <row r="19" spans="1:12" s="5" customFormat="1" x14ac:dyDescent="0.25">
      <c r="A19" s="20">
        <v>16</v>
      </c>
      <c r="B19" s="19">
        <f t="shared" si="0"/>
        <v>2036</v>
      </c>
      <c r="C19" s="39">
        <f>'Total Benefits'!$K$3</f>
        <v>918911.13676652533</v>
      </c>
      <c r="D19" s="40">
        <f>Maintenance!D18</f>
        <v>0</v>
      </c>
      <c r="E19" s="41">
        <f t="shared" si="3"/>
        <v>1200853.9335953719</v>
      </c>
      <c r="F19" s="42">
        <f t="shared" si="1"/>
        <v>0</v>
      </c>
      <c r="G19" s="39">
        <f t="shared" si="4"/>
        <v>435244.72840351303</v>
      </c>
      <c r="H19" s="40">
        <f t="shared" si="2"/>
        <v>0</v>
      </c>
    </row>
    <row r="20" spans="1:12" s="5" customFormat="1" x14ac:dyDescent="0.25">
      <c r="A20" s="20">
        <v>17</v>
      </c>
      <c r="B20" s="19">
        <f t="shared" si="0"/>
        <v>2037</v>
      </c>
      <c r="C20" s="39">
        <f>'Total Benefits'!$K$3</f>
        <v>918911.13676652533</v>
      </c>
      <c r="D20" s="40">
        <f>Maintenance!D19</f>
        <v>0</v>
      </c>
      <c r="E20" s="41">
        <f t="shared" si="3"/>
        <v>1222469.3044000885</v>
      </c>
      <c r="F20" s="42">
        <f t="shared" si="1"/>
        <v>0</v>
      </c>
      <c r="G20" s="39">
        <f t="shared" si="4"/>
        <v>414092.64814465074</v>
      </c>
      <c r="H20" s="40">
        <f t="shared" si="2"/>
        <v>0</v>
      </c>
    </row>
    <row r="21" spans="1:12" s="5" customFormat="1" x14ac:dyDescent="0.25">
      <c r="A21" s="20">
        <v>18</v>
      </c>
      <c r="B21" s="19">
        <f t="shared" si="0"/>
        <v>2038</v>
      </c>
      <c r="C21" s="39">
        <f>'Total Benefits'!$K$3</f>
        <v>918911.13676652533</v>
      </c>
      <c r="D21" s="40">
        <f>Maintenance!D20</f>
        <v>0</v>
      </c>
      <c r="E21" s="41">
        <f t="shared" si="3"/>
        <v>1244473.7518792902</v>
      </c>
      <c r="F21" s="42">
        <f t="shared" si="1"/>
        <v>0</v>
      </c>
      <c r="G21" s="39">
        <f t="shared" si="4"/>
        <v>393968.51944977057</v>
      </c>
      <c r="H21" s="40">
        <f t="shared" si="2"/>
        <v>0</v>
      </c>
    </row>
    <row r="22" spans="1:12" s="5" customFormat="1" x14ac:dyDescent="0.25">
      <c r="A22" s="20">
        <v>19</v>
      </c>
      <c r="B22" s="19">
        <f t="shared" si="0"/>
        <v>2039</v>
      </c>
      <c r="C22" s="39">
        <f>'Total Benefits'!$K$3</f>
        <v>918911.13676652533</v>
      </c>
      <c r="D22" s="40">
        <f>Maintenance!D21</f>
        <v>0</v>
      </c>
      <c r="E22" s="41">
        <f t="shared" si="3"/>
        <v>1266874.2794131173</v>
      </c>
      <c r="F22" s="42">
        <f t="shared" si="1"/>
        <v>0</v>
      </c>
      <c r="G22" s="39">
        <f t="shared" si="4"/>
        <v>374822.38579426764</v>
      </c>
      <c r="H22" s="40">
        <f t="shared" si="2"/>
        <v>0</v>
      </c>
    </row>
    <row r="23" spans="1:12" s="5" customFormat="1" x14ac:dyDescent="0.25">
      <c r="A23" s="20">
        <v>20</v>
      </c>
      <c r="B23" s="19">
        <f t="shared" si="0"/>
        <v>2040</v>
      </c>
      <c r="C23" s="39">
        <f>'Total Benefits'!$K$3</f>
        <v>918911.13676652533</v>
      </c>
      <c r="D23" s="40">
        <f>Maintenance!D22</f>
        <v>0</v>
      </c>
      <c r="E23" s="41">
        <f t="shared" si="3"/>
        <v>1289678.0164425534</v>
      </c>
      <c r="F23" s="42">
        <f t="shared" si="1"/>
        <v>0</v>
      </c>
      <c r="G23" s="39">
        <f t="shared" si="4"/>
        <v>356606.71844725648</v>
      </c>
      <c r="H23" s="40">
        <f t="shared" si="2"/>
        <v>0</v>
      </c>
    </row>
    <row r="24" spans="1:12" s="5" customFormat="1" x14ac:dyDescent="0.25">
      <c r="A24" s="20">
        <v>21</v>
      </c>
      <c r="B24" s="19">
        <f t="shared" si="0"/>
        <v>2041</v>
      </c>
      <c r="C24" s="39">
        <f>'Total Benefits'!$K$3</f>
        <v>918911.13676652533</v>
      </c>
      <c r="D24" s="40">
        <f>Maintenance!D23</f>
        <v>0</v>
      </c>
      <c r="E24" s="41">
        <f t="shared" si="3"/>
        <v>1312892.2207385194</v>
      </c>
      <c r="F24" s="42">
        <f t="shared" si="1"/>
        <v>0</v>
      </c>
      <c r="G24" s="39">
        <f t="shared" si="4"/>
        <v>339276.2984853338</v>
      </c>
      <c r="H24" s="40">
        <f t="shared" si="2"/>
        <v>0</v>
      </c>
    </row>
    <row r="25" spans="1:12" s="5" customFormat="1" x14ac:dyDescent="0.25">
      <c r="A25" s="20">
        <v>22</v>
      </c>
      <c r="B25" s="19">
        <f t="shared" si="0"/>
        <v>2042</v>
      </c>
      <c r="C25" s="39">
        <f>'Total Benefits'!$K$3</f>
        <v>918911.13676652533</v>
      </c>
      <c r="D25" s="40">
        <f>Maintenance!D24</f>
        <v>0</v>
      </c>
      <c r="E25" s="41">
        <f t="shared" si="3"/>
        <v>1336524.2807118129</v>
      </c>
      <c r="F25" s="42">
        <f t="shared" si="1"/>
        <v>0</v>
      </c>
      <c r="G25" s="39">
        <f t="shared" si="4"/>
        <v>322788.10454025213</v>
      </c>
      <c r="H25" s="40">
        <f t="shared" si="2"/>
        <v>0</v>
      </c>
    </row>
    <row r="26" spans="1:12" x14ac:dyDescent="0.25">
      <c r="A26" s="20">
        <v>23</v>
      </c>
      <c r="B26" s="19">
        <f t="shared" si="0"/>
        <v>2043</v>
      </c>
      <c r="C26" s="39">
        <f>'Total Benefits'!$K$3</f>
        <v>918911.13676652533</v>
      </c>
      <c r="D26" s="40">
        <f>Maintenance!D25</f>
        <v>0</v>
      </c>
      <c r="E26" s="41">
        <f t="shared" si="3"/>
        <v>1360581.7177646253</v>
      </c>
      <c r="F26" s="42">
        <f t="shared" si="1"/>
        <v>0</v>
      </c>
      <c r="G26" s="39">
        <f t="shared" si="4"/>
        <v>307101.20600184734</v>
      </c>
      <c r="H26" s="40">
        <f t="shared" si="2"/>
        <v>0</v>
      </c>
      <c r="L26" s="21"/>
    </row>
    <row r="27" spans="1:12" x14ac:dyDescent="0.25">
      <c r="A27" s="20">
        <v>24</v>
      </c>
      <c r="B27" s="19">
        <f t="shared" si="0"/>
        <v>2044</v>
      </c>
      <c r="C27" s="39">
        <f>'Total Benefits'!$K$3</f>
        <v>918911.13676652533</v>
      </c>
      <c r="D27" s="40">
        <f>Maintenance!D26</f>
        <v>0</v>
      </c>
      <c r="E27" s="41">
        <f t="shared" si="3"/>
        <v>1385072.188684389</v>
      </c>
      <c r="F27" s="42">
        <f t="shared" si="1"/>
        <v>0</v>
      </c>
      <c r="G27" s="39">
        <f t="shared" si="4"/>
        <v>292176.66141110344</v>
      </c>
      <c r="H27" s="40">
        <f t="shared" si="2"/>
        <v>0</v>
      </c>
    </row>
    <row r="28" spans="1:12" x14ac:dyDescent="0.25">
      <c r="A28" s="20">
        <v>25</v>
      </c>
      <c r="B28" s="19">
        <f t="shared" si="0"/>
        <v>2045</v>
      </c>
      <c r="C28" s="39">
        <f>'Total Benefits'!$K$3</f>
        <v>918911.13676652533</v>
      </c>
      <c r="D28" s="40">
        <f>Maintenance!D27</f>
        <v>0</v>
      </c>
      <c r="E28" s="41">
        <f t="shared" si="3"/>
        <v>1410003.4880807076</v>
      </c>
      <c r="F28" s="42">
        <f t="shared" si="1"/>
        <v>0</v>
      </c>
      <c r="G28" s="39">
        <f t="shared" si="4"/>
        <v>277977.42179112451</v>
      </c>
      <c r="H28" s="40">
        <f t="shared" si="2"/>
        <v>0</v>
      </c>
    </row>
    <row r="29" spans="1:12" x14ac:dyDescent="0.25">
      <c r="A29" s="20">
        <v>26</v>
      </c>
      <c r="B29" s="19">
        <f t="shared" si="0"/>
        <v>2046</v>
      </c>
      <c r="C29" s="39">
        <f>'Total Benefits'!$K$3</f>
        <v>918911.13676652533</v>
      </c>
      <c r="D29" s="40">
        <f>Maintenance!D28</f>
        <v>1135329</v>
      </c>
      <c r="E29" s="41">
        <f t="shared" si="3"/>
        <v>1435383.5508661605</v>
      </c>
      <c r="F29" s="42">
        <f t="shared" si="1"/>
        <v>1211478.3151437021</v>
      </c>
      <c r="G29" s="39">
        <f t="shared" si="4"/>
        <v>264468.23867604183</v>
      </c>
      <c r="H29" s="40">
        <f t="shared" si="2"/>
        <v>208611.10574883709</v>
      </c>
    </row>
    <row r="30" spans="1:12" x14ac:dyDescent="0.25">
      <c r="A30" s="20">
        <v>27</v>
      </c>
      <c r="B30" s="19">
        <f t="shared" si="0"/>
        <v>2047</v>
      </c>
      <c r="C30" s="39">
        <f>'Total Benefits'!$K$3</f>
        <v>918911.13676652533</v>
      </c>
      <c r="D30" s="40">
        <f>Maintenance!D29</f>
        <v>0</v>
      </c>
      <c r="E30" s="41">
        <f t="shared" si="3"/>
        <v>1461220.4547817514</v>
      </c>
      <c r="F30" s="42">
        <f t="shared" si="1"/>
        <v>0</v>
      </c>
      <c r="G30" s="39">
        <f t="shared" si="4"/>
        <v>251615.57660954259</v>
      </c>
      <c r="H30" s="40">
        <f t="shared" si="2"/>
        <v>0</v>
      </c>
    </row>
    <row r="31" spans="1:12" x14ac:dyDescent="0.25">
      <c r="A31" s="20">
        <v>28</v>
      </c>
      <c r="B31" s="19">
        <f t="shared" si="0"/>
        <v>2048</v>
      </c>
      <c r="C31" s="39">
        <f>'Total Benefits'!$K$3</f>
        <v>918911.13676652533</v>
      </c>
      <c r="D31" s="40">
        <f>Maintenance!D30</f>
        <v>0</v>
      </c>
      <c r="E31" s="41">
        <f t="shared" si="3"/>
        <v>1487522.422967823</v>
      </c>
      <c r="F31" s="42">
        <f t="shared" si="1"/>
        <v>0</v>
      </c>
      <c r="G31" s="39">
        <f t="shared" si="4"/>
        <v>239387.52989580779</v>
      </c>
      <c r="H31" s="40">
        <f t="shared" si="2"/>
        <v>0</v>
      </c>
    </row>
    <row r="32" spans="1:12" x14ac:dyDescent="0.25">
      <c r="A32" s="20">
        <v>29</v>
      </c>
      <c r="B32" s="19">
        <f t="shared" si="0"/>
        <v>2049</v>
      </c>
      <c r="C32" s="39">
        <f>'Total Benefits'!$K$3</f>
        <v>918911.13676652533</v>
      </c>
      <c r="D32" s="40">
        <f>Maintenance!D31</f>
        <v>0</v>
      </c>
      <c r="E32" s="41">
        <f t="shared" si="3"/>
        <v>1514297.8265812437</v>
      </c>
      <c r="F32" s="42">
        <f t="shared" si="1"/>
        <v>0</v>
      </c>
      <c r="G32" s="39">
        <f t="shared" si="4"/>
        <v>227753.74339619846</v>
      </c>
      <c r="H32" s="40">
        <f t="shared" si="2"/>
        <v>0</v>
      </c>
    </row>
    <row r="33" spans="1:8" x14ac:dyDescent="0.25">
      <c r="A33" s="20">
        <v>30</v>
      </c>
      <c r="B33" s="19">
        <f t="shared" si="0"/>
        <v>2050</v>
      </c>
      <c r="C33" s="39">
        <f>'Total Benefits'!$K$3</f>
        <v>918911.13676652533</v>
      </c>
      <c r="D33" s="40">
        <f>Maintenance!D32</f>
        <v>0</v>
      </c>
      <c r="E33" s="41">
        <f t="shared" si="3"/>
        <v>1541555.1874597063</v>
      </c>
      <c r="F33" s="42">
        <f t="shared" si="1"/>
        <v>0</v>
      </c>
      <c r="G33" s="39">
        <f t="shared" si="4"/>
        <v>216685.33717507482</v>
      </c>
      <c r="H33" s="40">
        <f t="shared" si="2"/>
        <v>0</v>
      </c>
    </row>
    <row r="34" spans="1:8" x14ac:dyDescent="0.25">
      <c r="A34" s="20">
        <v>31</v>
      </c>
      <c r="B34" s="19">
        <f t="shared" si="0"/>
        <v>2051</v>
      </c>
      <c r="C34" s="39">
        <f>'Total Benefits'!$K$3</f>
        <v>918911.13676652533</v>
      </c>
      <c r="D34" s="40">
        <f>Maintenance!D33</f>
        <v>0</v>
      </c>
      <c r="E34" s="41">
        <f t="shared" si="3"/>
        <v>1569303.1808339809</v>
      </c>
      <c r="F34" s="42">
        <f t="shared" si="1"/>
        <v>0</v>
      </c>
      <c r="G34" s="39">
        <f t="shared" si="4"/>
        <v>206154.83480768799</v>
      </c>
      <c r="H34" s="40">
        <f t="shared" si="2"/>
        <v>0</v>
      </c>
    </row>
    <row r="35" spans="1:8" x14ac:dyDescent="0.25">
      <c r="A35" s="20">
        <v>32</v>
      </c>
      <c r="B35" s="19">
        <f t="shared" si="0"/>
        <v>2052</v>
      </c>
      <c r="C35" s="39">
        <f>'Total Benefits'!$K$3</f>
        <v>918911.13676652533</v>
      </c>
      <c r="D35" s="40">
        <f>Maintenance!D34</f>
        <v>0</v>
      </c>
      <c r="E35" s="41">
        <f t="shared" si="3"/>
        <v>1597550.6380889928</v>
      </c>
      <c r="F35" s="42">
        <f t="shared" si="1"/>
        <v>0</v>
      </c>
      <c r="G35" s="39">
        <f>(E35)/(1.07^(A35-1))</f>
        <v>196136.09517217419</v>
      </c>
      <c r="H35" s="40">
        <f t="shared" si="2"/>
        <v>0</v>
      </c>
    </row>
    <row r="36" spans="1:8" x14ac:dyDescent="0.25">
      <c r="A36" s="249" t="s">
        <v>73</v>
      </c>
      <c r="B36" s="250"/>
      <c r="C36" s="63">
        <f>((40-30)/40)*7750000+((6/12)/12)*876565</f>
        <v>1974023.5416666667</v>
      </c>
      <c r="D36" s="64"/>
      <c r="E36" s="41">
        <f>C36*1.018^(A35-1)</f>
        <v>3431890.6828022655</v>
      </c>
      <c r="F36" s="42"/>
      <c r="G36" s="39">
        <f>(E36)/(1.07^(A35-1))</f>
        <v>421343.53774713114</v>
      </c>
      <c r="H36" s="40"/>
    </row>
    <row r="37" spans="1:8" ht="15.75" thickBot="1" x14ac:dyDescent="0.3">
      <c r="A37" s="243" t="s">
        <v>5</v>
      </c>
      <c r="B37" s="244"/>
      <c r="C37" s="43"/>
      <c r="D37" s="44"/>
      <c r="E37" s="45"/>
      <c r="F37" s="46"/>
      <c r="G37" s="43">
        <f>SUM(G6:G36)</f>
        <v>13739288.255103014</v>
      </c>
      <c r="H37" s="44">
        <f>SUM(H4:H35)</f>
        <v>8414574.714016974</v>
      </c>
    </row>
    <row r="38" spans="1:8" ht="15.75" thickTop="1" x14ac:dyDescent="0.25">
      <c r="A38" s="245" t="s">
        <v>14</v>
      </c>
      <c r="B38" s="246"/>
      <c r="C38" s="47"/>
      <c r="D38" s="48"/>
      <c r="E38" s="49"/>
      <c r="F38" s="50"/>
      <c r="G38" s="247">
        <f>G37/H37</f>
        <v>1.6327965134371139</v>
      </c>
      <c r="H38" s="248"/>
    </row>
    <row r="39" spans="1:8" x14ac:dyDescent="0.25">
      <c r="D39" s="28"/>
      <c r="E39" s="28"/>
    </row>
    <row r="40" spans="1:8" x14ac:dyDescent="0.25">
      <c r="A40" t="s">
        <v>44</v>
      </c>
      <c r="H40" s="28"/>
    </row>
    <row r="41" spans="1:8" x14ac:dyDescent="0.25">
      <c r="A41" t="s">
        <v>68</v>
      </c>
    </row>
    <row r="42" spans="1:8" ht="17.25" x14ac:dyDescent="0.25">
      <c r="A42" t="s">
        <v>78</v>
      </c>
    </row>
    <row r="43" spans="1:8" x14ac:dyDescent="0.25">
      <c r="A43" t="s">
        <v>43</v>
      </c>
    </row>
    <row r="44" spans="1:8" ht="17.25" x14ac:dyDescent="0.25">
      <c r="A44" t="s">
        <v>70</v>
      </c>
    </row>
    <row r="45" spans="1:8" ht="17.25" x14ac:dyDescent="0.25">
      <c r="A45" t="s">
        <v>71</v>
      </c>
    </row>
    <row r="46" spans="1:8" x14ac:dyDescent="0.25">
      <c r="A46" t="s">
        <v>72</v>
      </c>
    </row>
    <row r="47" spans="1:8" x14ac:dyDescent="0.25">
      <c r="A47" t="s">
        <v>75</v>
      </c>
    </row>
    <row r="48" spans="1:8" x14ac:dyDescent="0.25">
      <c r="A48" t="s">
        <v>74</v>
      </c>
    </row>
  </sheetData>
  <mergeCells count="7">
    <mergeCell ref="C2:D2"/>
    <mergeCell ref="E2:F2"/>
    <mergeCell ref="G2:H2"/>
    <mergeCell ref="A37:B37"/>
    <mergeCell ref="A38:B38"/>
    <mergeCell ref="G38:H38"/>
    <mergeCell ref="A36:B36"/>
  </mergeCells>
  <pageMargins left="0.7" right="0.7" top="0.75" bottom="0.75" header="0.3" footer="0.3"/>
  <pageSetup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zoomScaleNormal="100" workbookViewId="0">
      <selection activeCell="H28" sqref="H28"/>
    </sheetView>
  </sheetViews>
  <sheetFormatPr defaultRowHeight="15" x14ac:dyDescent="0.25"/>
  <cols>
    <col min="2" max="2" width="18.28515625" bestFit="1" customWidth="1"/>
    <col min="3" max="4" width="19.28515625" customWidth="1"/>
    <col min="5" max="5" width="11.5703125" bestFit="1" customWidth="1"/>
    <col min="6" max="6" width="7.140625" bestFit="1" customWidth="1"/>
  </cols>
  <sheetData>
    <row r="1" spans="1:10" x14ac:dyDescent="0.25">
      <c r="C1" s="1" t="s">
        <v>18</v>
      </c>
      <c r="D1" s="1" t="s">
        <v>19</v>
      </c>
    </row>
    <row r="2" spans="1:10" x14ac:dyDescent="0.25">
      <c r="B2" s="2"/>
      <c r="C2" s="3" t="s">
        <v>53</v>
      </c>
      <c r="D2" s="3" t="s">
        <v>52</v>
      </c>
    </row>
    <row r="3" spans="1:10" ht="15.75" thickBot="1" x14ac:dyDescent="0.3">
      <c r="A3" s="1" t="s">
        <v>15</v>
      </c>
      <c r="B3" s="6" t="s">
        <v>54</v>
      </c>
      <c r="C3" s="23">
        <v>42613</v>
      </c>
      <c r="D3" s="23">
        <v>1633389</v>
      </c>
    </row>
    <row r="4" spans="1:10" ht="15.75" thickBot="1" x14ac:dyDescent="0.3">
      <c r="A4" s="1" t="s">
        <v>16</v>
      </c>
      <c r="B4" s="6" t="s">
        <v>55</v>
      </c>
      <c r="C4" s="23">
        <v>42559</v>
      </c>
      <c r="D4" s="23">
        <v>1631935</v>
      </c>
    </row>
    <row r="5" spans="1:10" x14ac:dyDescent="0.25">
      <c r="A5" s="1" t="s">
        <v>17</v>
      </c>
      <c r="B5" s="24" t="s">
        <v>2</v>
      </c>
      <c r="C5" s="25" t="str">
        <f>CONCATENATE(ROUND(C4-C3,1)," (",ROUND((C4-C3)/C3*100,0),"%)")</f>
        <v>-54 (0%)</v>
      </c>
      <c r="D5" s="25" t="str">
        <f t="shared" ref="D5" si="0">CONCATENATE(ROUND(D4-D3,1)," (",ROUND((D4-D3)/D3*100,0),"%)")</f>
        <v>-1454 (0%)</v>
      </c>
    </row>
    <row r="7" spans="1:10" x14ac:dyDescent="0.25">
      <c r="A7" t="s">
        <v>27</v>
      </c>
    </row>
    <row r="8" spans="1:10" x14ac:dyDescent="0.25">
      <c r="A8" t="s">
        <v>96</v>
      </c>
    </row>
    <row r="9" spans="1:10" x14ac:dyDescent="0.25">
      <c r="A9" t="s">
        <v>97</v>
      </c>
    </row>
    <row r="11" spans="1:10" x14ac:dyDescent="0.25">
      <c r="I11" s="21"/>
      <c r="J11" s="2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zoomScaleNormal="100" workbookViewId="0">
      <selection activeCell="D21" sqref="D21"/>
    </sheetView>
  </sheetViews>
  <sheetFormatPr defaultRowHeight="15" x14ac:dyDescent="0.25"/>
  <cols>
    <col min="1" max="1" width="20.7109375" style="95" bestFit="1" customWidth="1"/>
    <col min="2" max="2" width="14.42578125" bestFit="1" customWidth="1"/>
    <col min="3" max="3" width="12.5703125" customWidth="1"/>
    <col min="4" max="4" width="15.28515625" bestFit="1" customWidth="1"/>
    <col min="5" max="5" width="19" customWidth="1"/>
    <col min="7" max="7" width="13" customWidth="1"/>
    <col min="8" max="8" width="18.85546875" bestFit="1" customWidth="1"/>
  </cols>
  <sheetData>
    <row r="1" spans="1:8" x14ac:dyDescent="0.25">
      <c r="B1" s="66" t="s">
        <v>76</v>
      </c>
      <c r="C1" s="149" t="s">
        <v>59</v>
      </c>
      <c r="D1" s="149" t="s">
        <v>60</v>
      </c>
      <c r="E1" s="149" t="s">
        <v>209</v>
      </c>
    </row>
    <row r="2" spans="1:8" ht="15.75" thickBot="1" x14ac:dyDescent="0.3">
      <c r="A2" s="129" t="s">
        <v>15</v>
      </c>
      <c r="B2" s="162" t="s">
        <v>61</v>
      </c>
      <c r="C2" s="163">
        <v>404</v>
      </c>
      <c r="D2" s="164">
        <f>C2*0.00000110231</f>
        <v>4.4533324000000003E-4</v>
      </c>
      <c r="E2" s="164">
        <f>D2*0.907185</f>
        <v>4.0399963532940003E-4</v>
      </c>
    </row>
    <row r="3" spans="1:8" ht="17.25" thickBot="1" x14ac:dyDescent="0.35">
      <c r="A3" s="130" t="s">
        <v>16</v>
      </c>
      <c r="B3" s="165" t="s">
        <v>3</v>
      </c>
      <c r="C3" s="166">
        <f>Emissions!T57</f>
        <v>0.929173097233842</v>
      </c>
      <c r="D3" s="167">
        <f>C3*0.00000110231</f>
        <v>1.0242367968118365E-6</v>
      </c>
      <c r="E3" s="168" t="s">
        <v>77</v>
      </c>
      <c r="F3" s="169"/>
      <c r="H3" s="4"/>
    </row>
    <row r="4" spans="1:8" x14ac:dyDescent="0.25">
      <c r="A4" s="130" t="s">
        <v>16</v>
      </c>
      <c r="B4" s="124" t="s">
        <v>4</v>
      </c>
      <c r="C4" s="125">
        <f>Emissions!T58</f>
        <v>2.88063336873642E-2</v>
      </c>
      <c r="D4" s="126">
        <f>C4*0.00000110231</f>
        <v>3.1753509686918435E-8</v>
      </c>
      <c r="E4" s="127" t="s">
        <v>77</v>
      </c>
    </row>
    <row r="6" spans="1:8" ht="15" customHeight="1" x14ac:dyDescent="0.25">
      <c r="A6" s="9" t="s">
        <v>202</v>
      </c>
      <c r="B6" s="251" t="s">
        <v>62</v>
      </c>
      <c r="C6" s="251"/>
      <c r="D6" s="251"/>
      <c r="E6" s="251"/>
      <c r="F6" s="112"/>
      <c r="G6" s="112"/>
    </row>
    <row r="7" spans="1:8" ht="15" customHeight="1" x14ac:dyDescent="0.25">
      <c r="A7" s="9"/>
      <c r="B7" s="251"/>
      <c r="C7" s="251"/>
      <c r="D7" s="251"/>
      <c r="E7" s="251"/>
      <c r="F7" s="112"/>
      <c r="G7" s="112"/>
    </row>
    <row r="8" spans="1:8" ht="15" customHeight="1" x14ac:dyDescent="0.25">
      <c r="A8" s="9"/>
      <c r="B8" s="251"/>
      <c r="C8" s="251"/>
      <c r="D8" s="251"/>
      <c r="E8" s="251"/>
      <c r="F8" s="112"/>
      <c r="G8" s="112"/>
    </row>
    <row r="9" spans="1:8" ht="15" customHeight="1" x14ac:dyDescent="0.25">
      <c r="A9" s="9" t="s">
        <v>203</v>
      </c>
      <c r="B9" s="251" t="s">
        <v>63</v>
      </c>
      <c r="C9" s="251"/>
      <c r="D9" s="251"/>
      <c r="E9" s="251"/>
      <c r="F9" s="114"/>
      <c r="G9" s="113"/>
    </row>
    <row r="10" spans="1:8" ht="15" customHeight="1" x14ac:dyDescent="0.25">
      <c r="A10" s="9" t="s">
        <v>200</v>
      </c>
      <c r="B10" s="251"/>
      <c r="C10" s="251"/>
      <c r="D10" s="251"/>
      <c r="E10" s="251"/>
      <c r="F10" s="114"/>
      <c r="G10" s="113"/>
    </row>
    <row r="11" spans="1:8" ht="15" customHeight="1" x14ac:dyDescent="0.25">
      <c r="B11" s="251"/>
      <c r="C11" s="251"/>
      <c r="D11" s="251"/>
      <c r="E11" s="251"/>
    </row>
  </sheetData>
  <mergeCells count="2">
    <mergeCell ref="B6:E8"/>
    <mergeCell ref="B9:E11"/>
  </mergeCells>
  <hyperlinks>
    <hyperlink ref="B6" r:id="rId1"/>
    <hyperlink ref="B9" r:id="rId2"/>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7"/>
  <sheetViews>
    <sheetView zoomScaleNormal="100" workbookViewId="0">
      <pane xSplit="1" ySplit="2" topLeftCell="B3" activePane="bottomRight" state="frozen"/>
      <selection pane="topRight" activeCell="B1" sqref="B1"/>
      <selection pane="bottomLeft" activeCell="A3" sqref="A3"/>
      <selection pane="bottomRight" activeCell="E22" sqref="E22"/>
    </sheetView>
  </sheetViews>
  <sheetFormatPr defaultRowHeight="16.5" x14ac:dyDescent="0.3"/>
  <cols>
    <col min="1" max="1" width="51.140625" style="96" customWidth="1"/>
    <col min="2" max="15" width="6.7109375" style="96" customWidth="1"/>
    <col min="16" max="16" width="6.7109375" style="110" customWidth="1"/>
    <col min="17" max="17" width="6.7109375" style="99" customWidth="1"/>
    <col min="18" max="22" width="6.7109375" style="96" customWidth="1"/>
    <col min="23" max="16384" width="9.140625" style="96"/>
  </cols>
  <sheetData>
    <row r="1" spans="1:22" ht="16.5" customHeight="1" thickBot="1" x14ac:dyDescent="0.3">
      <c r="A1" s="253" t="s">
        <v>177</v>
      </c>
      <c r="B1" s="253"/>
      <c r="C1" s="253"/>
      <c r="D1" s="253"/>
      <c r="E1" s="253"/>
      <c r="F1" s="253"/>
      <c r="G1" s="253"/>
      <c r="H1" s="253"/>
      <c r="I1" s="253"/>
      <c r="J1" s="253"/>
      <c r="K1" s="253"/>
      <c r="L1" s="253"/>
      <c r="M1" s="253"/>
      <c r="N1" s="253"/>
      <c r="O1" s="253"/>
      <c r="P1" s="253"/>
      <c r="Q1" s="253"/>
      <c r="R1" s="253"/>
      <c r="S1" s="253"/>
      <c r="T1" s="253"/>
    </row>
    <row r="2" spans="1:22" s="99" customFormat="1" ht="16.5" customHeight="1" thickBot="1" x14ac:dyDescent="0.35">
      <c r="A2" s="97"/>
      <c r="B2" s="97">
        <v>2000</v>
      </c>
      <c r="C2" s="97">
        <v>2001</v>
      </c>
      <c r="D2" s="97">
        <v>2002</v>
      </c>
      <c r="E2" s="97">
        <v>2003</v>
      </c>
      <c r="F2" s="97">
        <v>2004</v>
      </c>
      <c r="G2" s="97">
        <v>2005</v>
      </c>
      <c r="H2" s="98">
        <v>2006</v>
      </c>
      <c r="I2" s="98">
        <v>2007</v>
      </c>
      <c r="J2" s="98">
        <v>2008</v>
      </c>
      <c r="K2" s="98">
        <v>2009</v>
      </c>
      <c r="L2" s="98">
        <v>2010</v>
      </c>
      <c r="M2" s="98">
        <v>2011</v>
      </c>
      <c r="N2" s="98">
        <v>2012</v>
      </c>
      <c r="O2" s="98">
        <v>2013</v>
      </c>
      <c r="P2" s="98">
        <v>2014</v>
      </c>
      <c r="Q2" s="98">
        <v>2015</v>
      </c>
      <c r="R2" s="98">
        <v>2016</v>
      </c>
      <c r="S2" s="98">
        <v>2017</v>
      </c>
      <c r="T2" s="98">
        <v>2018</v>
      </c>
    </row>
    <row r="3" spans="1:22" s="99" customFormat="1" ht="16.5" customHeight="1" x14ac:dyDescent="0.3">
      <c r="A3" s="100" t="s">
        <v>178</v>
      </c>
      <c r="F3" s="101"/>
    </row>
    <row r="4" spans="1:22" s="99" customFormat="1" ht="16.5" customHeight="1" x14ac:dyDescent="0.3">
      <c r="A4" s="100" t="s">
        <v>179</v>
      </c>
      <c r="F4" s="101"/>
    </row>
    <row r="5" spans="1:22" s="103" customFormat="1" ht="16.5" customHeight="1" x14ac:dyDescent="0.3">
      <c r="A5" s="99" t="s">
        <v>180</v>
      </c>
      <c r="B5" s="102">
        <v>1.6170806624854599</v>
      </c>
      <c r="C5" s="102">
        <v>1.50552133113972</v>
      </c>
      <c r="D5" s="102">
        <v>1.3380430474088101</v>
      </c>
      <c r="E5" s="102">
        <v>1.2310263034873301</v>
      </c>
      <c r="F5" s="102">
        <v>1.11604505121772</v>
      </c>
      <c r="G5" s="102">
        <v>1.0200761389922</v>
      </c>
      <c r="H5" s="102">
        <v>0.94897872867039001</v>
      </c>
      <c r="I5" s="102">
        <v>0.88066435910769703</v>
      </c>
      <c r="J5" s="102">
        <v>0.86180716998849305</v>
      </c>
      <c r="K5" s="102">
        <v>0.82682686440182296</v>
      </c>
      <c r="L5" s="102">
        <v>0.78629889475524595</v>
      </c>
      <c r="M5" s="102">
        <v>0.769714034208413</v>
      </c>
      <c r="N5" s="102">
        <v>0.68618559259817702</v>
      </c>
      <c r="O5" s="102">
        <v>0.62382239971634001</v>
      </c>
      <c r="P5" s="102">
        <v>0.556883568543171</v>
      </c>
      <c r="Q5" s="102">
        <v>0.49930984193037498</v>
      </c>
      <c r="R5" s="102">
        <v>0.44665926120545801</v>
      </c>
      <c r="S5" s="102">
        <v>0.38891372986610501</v>
      </c>
      <c r="T5" s="102">
        <v>0.35025437103134599</v>
      </c>
      <c r="U5" s="99"/>
      <c r="V5" s="99"/>
    </row>
    <row r="6" spans="1:22" s="103" customFormat="1" ht="16.5" customHeight="1" x14ac:dyDescent="0.3">
      <c r="A6" s="99" t="s">
        <v>181</v>
      </c>
      <c r="B6" s="102">
        <v>16.027717054966502</v>
      </c>
      <c r="C6" s="102">
        <v>14.671578609023101</v>
      </c>
      <c r="D6" s="102">
        <v>12.974841157760199</v>
      </c>
      <c r="E6" s="102">
        <v>11.8655004706631</v>
      </c>
      <c r="F6" s="102">
        <v>10.713661623671401</v>
      </c>
      <c r="G6" s="102">
        <v>9.7585205387492007</v>
      </c>
      <c r="H6" s="102">
        <v>9.1164074540007505</v>
      </c>
      <c r="I6" s="102">
        <v>8.4568821565404804</v>
      </c>
      <c r="J6" s="102">
        <v>7.9544507989162598</v>
      </c>
      <c r="K6" s="102">
        <v>7.4803839677351496</v>
      </c>
      <c r="L6" s="102">
        <v>7.1209192601654099</v>
      </c>
      <c r="M6" s="102">
        <v>6.8389748238313199</v>
      </c>
      <c r="N6" s="102">
        <v>6.2278082121752103</v>
      </c>
      <c r="O6" s="102">
        <v>5.7745899544715398</v>
      </c>
      <c r="P6" s="102">
        <v>5.3138565478782498</v>
      </c>
      <c r="Q6" s="102">
        <v>4.8978754832309299</v>
      </c>
      <c r="R6" s="102">
        <v>4.56271752444722</v>
      </c>
      <c r="S6" s="102">
        <v>4.1834034424572302</v>
      </c>
      <c r="T6" s="102">
        <v>3.9407618209510602</v>
      </c>
      <c r="U6" s="99"/>
      <c r="V6" s="99"/>
    </row>
    <row r="7" spans="1:22" s="104" customFormat="1" ht="16.5" customHeight="1" x14ac:dyDescent="0.3">
      <c r="A7" s="99" t="s">
        <v>182</v>
      </c>
      <c r="B7" s="102">
        <v>1.6811897880295901</v>
      </c>
      <c r="C7" s="102">
        <v>1.5997430054191699</v>
      </c>
      <c r="D7" s="102">
        <v>1.44816543899873</v>
      </c>
      <c r="E7" s="102">
        <v>1.3424746534941101</v>
      </c>
      <c r="F7" s="102">
        <v>1.2015913291361</v>
      </c>
      <c r="G7" s="102">
        <v>1.0794272836501599</v>
      </c>
      <c r="H7" s="102">
        <v>1.03399709217466</v>
      </c>
      <c r="I7" s="102">
        <v>0.94746025334477701</v>
      </c>
      <c r="J7" s="102">
        <v>0.93645765951519</v>
      </c>
      <c r="K7" s="102">
        <v>0.91706022532701603</v>
      </c>
      <c r="L7" s="102">
        <v>0.90117533241808201</v>
      </c>
      <c r="M7" s="102">
        <v>0.86951351867339399</v>
      </c>
      <c r="N7" s="102">
        <v>0.77163575735841405</v>
      </c>
      <c r="O7" s="102">
        <v>0.68787579665722898</v>
      </c>
      <c r="P7" s="102">
        <v>0.597343389679176</v>
      </c>
      <c r="Q7" s="102">
        <v>0.51758132024010495</v>
      </c>
      <c r="R7" s="102">
        <v>0.448103896247664</v>
      </c>
      <c r="S7" s="102">
        <v>0.33725073321615001</v>
      </c>
      <c r="T7" s="102">
        <v>0.28900113969330199</v>
      </c>
      <c r="U7" s="99"/>
      <c r="V7" s="99"/>
    </row>
    <row r="8" spans="1:22" s="99" customFormat="1" ht="16.5" customHeight="1" x14ac:dyDescent="0.3">
      <c r="A8" s="99" t="s">
        <v>183</v>
      </c>
      <c r="B8" s="102">
        <v>3.6575739333791303E-2</v>
      </c>
      <c r="C8" s="102">
        <v>3.4464408408815601E-2</v>
      </c>
      <c r="D8" s="102">
        <v>3.0520999057362299E-2</v>
      </c>
      <c r="E8" s="102">
        <v>2.7658193893954099E-2</v>
      </c>
      <c r="F8" s="102">
        <v>2.5095355368773699E-2</v>
      </c>
      <c r="G8" s="102">
        <v>2.2798456268867999E-2</v>
      </c>
      <c r="H8" s="102">
        <v>2.0889904101017501E-2</v>
      </c>
      <c r="I8" s="102">
        <v>1.9343683851440901E-2</v>
      </c>
      <c r="J8" s="102">
        <v>1.8616570979527399E-2</v>
      </c>
      <c r="K8" s="102">
        <v>1.80071171753311E-2</v>
      </c>
      <c r="L8" s="102">
        <v>1.72413958775515E-2</v>
      </c>
      <c r="M8" s="102">
        <v>1.68803783780727E-2</v>
      </c>
      <c r="N8" s="102">
        <v>1.5177204061742401E-2</v>
      </c>
      <c r="O8" s="102">
        <v>1.3909651519140099E-2</v>
      </c>
      <c r="P8" s="102">
        <v>1.24333212448372E-2</v>
      </c>
      <c r="Q8" s="102">
        <v>1.11442579652626E-2</v>
      </c>
      <c r="R8" s="102">
        <v>1.00759263933584E-2</v>
      </c>
      <c r="S8" s="102">
        <v>9.03872186892043E-3</v>
      </c>
      <c r="T8" s="102">
        <v>8.1818000867954592E-3</v>
      </c>
    </row>
    <row r="9" spans="1:22" s="99" customFormat="1" ht="16.5" customHeight="1" x14ac:dyDescent="0.3">
      <c r="A9" s="99" t="s">
        <v>184</v>
      </c>
      <c r="B9" s="102">
        <v>2.6573825852108301E-3</v>
      </c>
      <c r="C9" s="102">
        <v>2.6573864151400299E-3</v>
      </c>
      <c r="D9" s="102">
        <v>2.6573855384037998E-3</v>
      </c>
      <c r="E9" s="102">
        <v>2.65740479223815E-3</v>
      </c>
      <c r="F9" s="102">
        <v>2.65741514440138E-3</v>
      </c>
      <c r="G9" s="102">
        <v>2.65737665673332E-3</v>
      </c>
      <c r="H9" s="102">
        <v>2.6574070689252098E-3</v>
      </c>
      <c r="I9" s="102">
        <v>2.65737417972457E-3</v>
      </c>
      <c r="J9" s="102">
        <v>2.6574106811283501E-3</v>
      </c>
      <c r="K9" s="102">
        <v>2.6574096195233201E-3</v>
      </c>
      <c r="L9" s="102">
        <v>2.6574080755226701E-3</v>
      </c>
      <c r="M9" s="102">
        <v>2.65741150851304E-3</v>
      </c>
      <c r="N9" s="102">
        <v>2.6574096642849299E-3</v>
      </c>
      <c r="O9" s="102">
        <v>2.6571805749934199E-3</v>
      </c>
      <c r="P9" s="102">
        <v>2.6571180236190199E-3</v>
      </c>
      <c r="Q9" s="102">
        <v>2.6571907815445299E-3</v>
      </c>
      <c r="R9" s="102">
        <v>2.6573994601509E-3</v>
      </c>
      <c r="S9" s="102">
        <v>2.6573988457218199E-3</v>
      </c>
      <c r="T9" s="102">
        <v>2.6573977019288299E-3</v>
      </c>
    </row>
    <row r="10" spans="1:22" s="99" customFormat="1" ht="16.5" customHeight="1" x14ac:dyDescent="0.3">
      <c r="A10" s="99" t="s">
        <v>185</v>
      </c>
      <c r="B10" s="102">
        <v>1.2862931844546701E-3</v>
      </c>
      <c r="C10" s="102">
        <v>1.28629502447385E-3</v>
      </c>
      <c r="D10" s="102">
        <v>1.28629172513086E-3</v>
      </c>
      <c r="E10" s="102">
        <v>1.2863037980860501E-3</v>
      </c>
      <c r="F10" s="102">
        <v>1.28630636895708E-3</v>
      </c>
      <c r="G10" s="102">
        <v>1.28628880003727E-3</v>
      </c>
      <c r="H10" s="102">
        <v>1.2863048339876401E-3</v>
      </c>
      <c r="I10" s="102">
        <v>1.2862890245975999E-3</v>
      </c>
      <c r="J10" s="102">
        <v>1.28630630562534E-3</v>
      </c>
      <c r="K10" s="102">
        <v>1.2863064920819599E-3</v>
      </c>
      <c r="L10" s="102">
        <v>1.2863054984370501E-3</v>
      </c>
      <c r="M10" s="102">
        <v>1.2863054232757E-3</v>
      </c>
      <c r="N10" s="102">
        <v>1.2863063335708999E-3</v>
      </c>
      <c r="O10" s="102">
        <v>1.2861935921078399E-3</v>
      </c>
      <c r="P10" s="102">
        <v>1.2861622877015199E-3</v>
      </c>
      <c r="Q10" s="102">
        <v>1.2861994341289401E-3</v>
      </c>
      <c r="R10" s="102">
        <v>1.2863004014014199E-3</v>
      </c>
      <c r="S10" s="102">
        <v>1.28629835474621E-3</v>
      </c>
      <c r="T10" s="102">
        <v>1.2862992614998401E-3</v>
      </c>
    </row>
    <row r="11" spans="1:22" s="99" customFormat="1" ht="16.5" customHeight="1" x14ac:dyDescent="0.3">
      <c r="A11" s="100" t="s">
        <v>186</v>
      </c>
      <c r="B11" s="102"/>
      <c r="C11" s="102"/>
      <c r="D11" s="102"/>
      <c r="E11" s="102"/>
      <c r="F11" s="102"/>
      <c r="G11" s="102"/>
      <c r="H11" s="102"/>
      <c r="I11" s="102"/>
      <c r="J11" s="102"/>
      <c r="K11" s="102"/>
      <c r="L11" s="102"/>
      <c r="M11" s="102"/>
      <c r="N11" s="102"/>
      <c r="O11" s="102"/>
      <c r="P11" s="102"/>
      <c r="Q11" s="102"/>
      <c r="R11" s="102"/>
      <c r="S11" s="102"/>
      <c r="T11" s="102"/>
    </row>
    <row r="12" spans="1:22" s="99" customFormat="1" ht="16.5" customHeight="1" x14ac:dyDescent="0.3">
      <c r="A12" s="99" t="s">
        <v>180</v>
      </c>
      <c r="B12" s="102">
        <v>1.4273981405283001</v>
      </c>
      <c r="C12" s="102">
        <v>1.37813971380668</v>
      </c>
      <c r="D12" s="102">
        <v>1.29320080945009</v>
      </c>
      <c r="E12" s="102">
        <v>1.2567858606676401</v>
      </c>
      <c r="F12" s="102">
        <v>1.1611559882392</v>
      </c>
      <c r="G12" s="102">
        <v>1.0935231571658399</v>
      </c>
      <c r="H12" s="102">
        <v>1.0570473720339699</v>
      </c>
      <c r="I12" s="102">
        <v>1.0257183560921099</v>
      </c>
      <c r="J12" s="102">
        <v>1.01075320805491</v>
      </c>
      <c r="K12" s="102">
        <v>0.999044674215532</v>
      </c>
      <c r="L12" s="102">
        <v>0.97896603305179497</v>
      </c>
      <c r="M12" s="102">
        <v>0.97227594380306204</v>
      </c>
      <c r="N12" s="102">
        <v>0.87040046292749196</v>
      </c>
      <c r="O12" s="102">
        <v>0.79056978348492701</v>
      </c>
      <c r="P12" s="102">
        <v>0.70636512051766198</v>
      </c>
      <c r="Q12" s="102">
        <v>0.626207228935315</v>
      </c>
      <c r="R12" s="102">
        <v>0.55323008718845601</v>
      </c>
      <c r="S12" s="102">
        <v>0.47130266333993098</v>
      </c>
      <c r="T12" s="102">
        <v>0.42054409316567798</v>
      </c>
    </row>
    <row r="13" spans="1:22" s="105" customFormat="1" ht="16.5" customHeight="1" x14ac:dyDescent="0.3">
      <c r="A13" s="99" t="s">
        <v>181</v>
      </c>
      <c r="B13" s="102">
        <v>16.871012960618501</v>
      </c>
      <c r="C13" s="102">
        <v>16.043408336636698</v>
      </c>
      <c r="D13" s="102">
        <v>14.8854554996499</v>
      </c>
      <c r="E13" s="102">
        <v>14.316605248985701</v>
      </c>
      <c r="F13" s="102">
        <v>13.2731650068582</v>
      </c>
      <c r="G13" s="102">
        <v>12.6888944266601</v>
      </c>
      <c r="H13" s="102">
        <v>12.431338445610599</v>
      </c>
      <c r="I13" s="102">
        <v>12.1676807814924</v>
      </c>
      <c r="J13" s="102">
        <v>11.551208184162901</v>
      </c>
      <c r="K13" s="102">
        <v>11.206865380993399</v>
      </c>
      <c r="L13" s="102">
        <v>11.006654552596</v>
      </c>
      <c r="M13" s="102">
        <v>10.8963226473159</v>
      </c>
      <c r="N13" s="102">
        <v>9.8766710604007102</v>
      </c>
      <c r="O13" s="102">
        <v>9.0902889918194596</v>
      </c>
      <c r="P13" s="102">
        <v>8.2663513476466104</v>
      </c>
      <c r="Q13" s="102">
        <v>7.4634771426085296</v>
      </c>
      <c r="R13" s="102">
        <v>6.7791960036740404</v>
      </c>
      <c r="S13" s="102">
        <v>6.1235165084193497</v>
      </c>
      <c r="T13" s="102">
        <v>5.6553134234495603</v>
      </c>
      <c r="U13" s="99"/>
      <c r="V13" s="99"/>
    </row>
    <row r="14" spans="1:22" s="99" customFormat="1" ht="16.5" customHeight="1" x14ac:dyDescent="0.3">
      <c r="A14" s="99" t="s">
        <v>182</v>
      </c>
      <c r="B14" s="102">
        <v>2.2677285215632499</v>
      </c>
      <c r="C14" s="102">
        <v>2.1728762957605299</v>
      </c>
      <c r="D14" s="102">
        <v>2.0014989357100998</v>
      </c>
      <c r="E14" s="102">
        <v>1.92310312283798</v>
      </c>
      <c r="F14" s="102">
        <v>1.7317541156271199</v>
      </c>
      <c r="G14" s="102">
        <v>1.5849542783145001</v>
      </c>
      <c r="H14" s="102">
        <v>1.5423468286081901</v>
      </c>
      <c r="I14" s="102">
        <v>1.4495893599455401</v>
      </c>
      <c r="J14" s="102">
        <v>1.43821107156172</v>
      </c>
      <c r="K14" s="102">
        <v>1.44004382969994</v>
      </c>
      <c r="L14" s="102">
        <v>1.43389107655126</v>
      </c>
      <c r="M14" s="102">
        <v>1.3990392166129</v>
      </c>
      <c r="N14" s="102">
        <v>1.2600831072377201</v>
      </c>
      <c r="O14" s="102">
        <v>1.1349390459049</v>
      </c>
      <c r="P14" s="102">
        <v>0.99997518744797598</v>
      </c>
      <c r="Q14" s="102">
        <v>0.87241031253197598</v>
      </c>
      <c r="R14" s="102">
        <v>0.76004024152199201</v>
      </c>
      <c r="S14" s="102">
        <v>0.55190372371675001</v>
      </c>
      <c r="T14" s="102">
        <v>0.47808701196883902</v>
      </c>
    </row>
    <row r="15" spans="1:22" s="99" customFormat="1" ht="16.5" customHeight="1" x14ac:dyDescent="0.3">
      <c r="A15" s="99" t="s">
        <v>183</v>
      </c>
      <c r="B15" s="102">
        <v>2.5137645539926499E-2</v>
      </c>
      <c r="C15" s="102">
        <v>2.40370690375196E-2</v>
      </c>
      <c r="D15" s="102">
        <v>2.2379423642151799E-2</v>
      </c>
      <c r="E15" s="102">
        <v>2.16192893894427E-2</v>
      </c>
      <c r="F15" s="102">
        <v>2.0322497508218899E-2</v>
      </c>
      <c r="G15" s="102">
        <v>1.9322765658823401E-2</v>
      </c>
      <c r="H15" s="102">
        <v>1.87502948920234E-2</v>
      </c>
      <c r="I15" s="102">
        <v>1.8177285172543599E-2</v>
      </c>
      <c r="J15" s="102">
        <v>1.7173942028087599E-2</v>
      </c>
      <c r="K15" s="102">
        <v>1.7225424358757999E-2</v>
      </c>
      <c r="L15" s="102">
        <v>1.7019683846445099E-2</v>
      </c>
      <c r="M15" s="102">
        <v>1.7095442334985E-2</v>
      </c>
      <c r="N15" s="102">
        <v>1.57422665493228E-2</v>
      </c>
      <c r="O15" s="102">
        <v>1.46231104423957E-2</v>
      </c>
      <c r="P15" s="102">
        <v>1.3441318373507399E-2</v>
      </c>
      <c r="Q15" s="102">
        <v>1.23075783336038E-2</v>
      </c>
      <c r="R15" s="102">
        <v>1.1346564985810201E-2</v>
      </c>
      <c r="S15" s="102">
        <v>1.0453934742049399E-2</v>
      </c>
      <c r="T15" s="102">
        <v>9.7601339202788902E-3</v>
      </c>
    </row>
    <row r="16" spans="1:22" s="99" customFormat="1" ht="16.5" customHeight="1" x14ac:dyDescent="0.3">
      <c r="A16" s="99" t="s">
        <v>184</v>
      </c>
      <c r="B16" s="102">
        <v>2.8924619271106901E-3</v>
      </c>
      <c r="C16" s="102">
        <v>2.8924110891646601E-3</v>
      </c>
      <c r="D16" s="102">
        <v>2.8923291471539001E-3</v>
      </c>
      <c r="E16" s="102">
        <v>2.8922929450286099E-3</v>
      </c>
      <c r="F16" s="102">
        <v>2.8922483505179502E-3</v>
      </c>
      <c r="G16" s="102">
        <v>2.8921211297740102E-3</v>
      </c>
      <c r="H16" s="102">
        <v>2.8921052612244798E-3</v>
      </c>
      <c r="I16" s="102">
        <v>2.8919623598313801E-3</v>
      </c>
      <c r="J16" s="102">
        <v>2.8918999763330598E-3</v>
      </c>
      <c r="K16" s="102">
        <v>2.8918000000670201E-3</v>
      </c>
      <c r="L16" s="102">
        <v>2.89167720473579E-3</v>
      </c>
      <c r="M16" s="102">
        <v>2.8915728525187802E-3</v>
      </c>
      <c r="N16" s="102">
        <v>2.8915719665348399E-3</v>
      </c>
      <c r="O16" s="102">
        <v>2.8913066052490099E-3</v>
      </c>
      <c r="P16" s="102">
        <v>2.89122118864277E-3</v>
      </c>
      <c r="Q16" s="102">
        <v>2.8912972893397298E-3</v>
      </c>
      <c r="R16" s="102">
        <v>2.8915186927607299E-3</v>
      </c>
      <c r="S16" s="102">
        <v>2.8915118685522399E-3</v>
      </c>
      <c r="T16" s="102">
        <v>2.8914984271147201E-3</v>
      </c>
    </row>
    <row r="17" spans="1:25" s="99" customFormat="1" ht="16.5" customHeight="1" x14ac:dyDescent="0.3">
      <c r="A17" s="99" t="s">
        <v>185</v>
      </c>
      <c r="B17" s="102">
        <v>1.29828633074845E-3</v>
      </c>
      <c r="C17" s="102">
        <v>1.29873497732165E-3</v>
      </c>
      <c r="D17" s="102">
        <v>1.2984280240486701E-3</v>
      </c>
      <c r="E17" s="102">
        <v>1.29842489716917E-3</v>
      </c>
      <c r="F17" s="102">
        <v>1.29860530737235E-3</v>
      </c>
      <c r="G17" s="102">
        <v>1.2984914995876199E-3</v>
      </c>
      <c r="H17" s="102">
        <v>1.29879893307406E-3</v>
      </c>
      <c r="I17" s="102">
        <v>1.2983054733394E-3</v>
      </c>
      <c r="J17" s="102">
        <v>1.29802009940245E-3</v>
      </c>
      <c r="K17" s="102">
        <v>1.29756452551261E-3</v>
      </c>
      <c r="L17" s="102">
        <v>1.2969247158404801E-3</v>
      </c>
      <c r="M17" s="102">
        <v>1.29663714197898E-3</v>
      </c>
      <c r="N17" s="102">
        <v>1.2963802018968701E-3</v>
      </c>
      <c r="O17" s="102">
        <v>1.2960113510943601E-3</v>
      </c>
      <c r="P17" s="102">
        <v>1.2957195037436699E-3</v>
      </c>
      <c r="Q17" s="102">
        <v>1.2955027376555801E-3</v>
      </c>
      <c r="R17" s="102">
        <v>1.29541579032198E-3</v>
      </c>
      <c r="S17" s="102">
        <v>1.2952858153680801E-3</v>
      </c>
      <c r="T17" s="102">
        <v>1.2951821528742601E-3</v>
      </c>
    </row>
    <row r="18" spans="1:25" s="99" customFormat="1" ht="16.5" customHeight="1" x14ac:dyDescent="0.3">
      <c r="A18" s="100" t="s">
        <v>187</v>
      </c>
      <c r="B18" s="102"/>
      <c r="C18" s="102"/>
      <c r="D18" s="102"/>
      <c r="E18" s="102"/>
      <c r="F18" s="102"/>
      <c r="G18" s="102"/>
      <c r="H18" s="102"/>
      <c r="I18" s="102"/>
      <c r="J18" s="102"/>
      <c r="K18" s="102"/>
      <c r="L18" s="102"/>
      <c r="M18" s="102"/>
      <c r="N18" s="102"/>
      <c r="O18" s="102"/>
      <c r="P18" s="102"/>
      <c r="Q18" s="102"/>
      <c r="R18" s="102"/>
      <c r="S18" s="102"/>
      <c r="T18" s="102"/>
    </row>
    <row r="19" spans="1:25" s="105" customFormat="1" ht="16.5" customHeight="1" x14ac:dyDescent="0.3">
      <c r="A19" s="99" t="s">
        <v>180</v>
      </c>
      <c r="B19" s="102">
        <v>3.14373784872644</v>
      </c>
      <c r="C19" s="102">
        <v>3.1666725358989201</v>
      </c>
      <c r="D19" s="102">
        <v>2.9558035427779101</v>
      </c>
      <c r="E19" s="102">
        <v>2.8752770727183199</v>
      </c>
      <c r="F19" s="102">
        <v>2.5967677890530001</v>
      </c>
      <c r="G19" s="102">
        <v>2.44953872428268</v>
      </c>
      <c r="H19" s="102">
        <v>2.28975591676654</v>
      </c>
      <c r="I19" s="102">
        <v>2.26360465877001</v>
      </c>
      <c r="J19" s="102">
        <v>2.1725783867984299</v>
      </c>
      <c r="K19" s="102">
        <v>2.1980806929600201</v>
      </c>
      <c r="L19" s="102">
        <v>2.2479590141152199</v>
      </c>
      <c r="M19" s="102">
        <v>2.11859045653717</v>
      </c>
      <c r="N19" s="102">
        <v>2.0538157208985699</v>
      </c>
      <c r="O19" s="102">
        <v>1.9370581344317199</v>
      </c>
      <c r="P19" s="102">
        <v>1.77994035621386</v>
      </c>
      <c r="Q19" s="102">
        <v>1.6386901502917901</v>
      </c>
      <c r="R19" s="102">
        <v>1.49423636592336</v>
      </c>
      <c r="S19" s="102">
        <v>1.2905149646598499</v>
      </c>
      <c r="T19" s="102">
        <v>1.16028602354787</v>
      </c>
      <c r="U19" s="99"/>
      <c r="V19" s="99"/>
    </row>
    <row r="20" spans="1:25" s="99" customFormat="1" ht="16.5" customHeight="1" x14ac:dyDescent="0.3">
      <c r="A20" s="99" t="s">
        <v>181</v>
      </c>
      <c r="B20" s="102">
        <v>58.606868475185799</v>
      </c>
      <c r="C20" s="102">
        <v>59.990835023094903</v>
      </c>
      <c r="D20" s="102">
        <v>57.598406080374801</v>
      </c>
      <c r="E20" s="102">
        <v>57.756019227361797</v>
      </c>
      <c r="F20" s="102">
        <v>52.131565778561999</v>
      </c>
      <c r="G20" s="102">
        <v>48.873694412916599</v>
      </c>
      <c r="H20" s="102">
        <v>45.728674787795903</v>
      </c>
      <c r="I20" s="102">
        <v>44.488996907582802</v>
      </c>
      <c r="J20" s="102">
        <v>41.031171093861701</v>
      </c>
      <c r="K20" s="102">
        <v>40.302041297162297</v>
      </c>
      <c r="L20" s="102">
        <v>40.807507029480597</v>
      </c>
      <c r="M20" s="102">
        <v>38.522267926007203</v>
      </c>
      <c r="N20" s="102">
        <v>36.938023303487903</v>
      </c>
      <c r="O20" s="102">
        <v>34.736510909355097</v>
      </c>
      <c r="P20" s="102">
        <v>31.963754532120799</v>
      </c>
      <c r="Q20" s="102">
        <v>29.337677211694501</v>
      </c>
      <c r="R20" s="102">
        <v>26.902365562739899</v>
      </c>
      <c r="S20" s="102">
        <v>23.246460488756401</v>
      </c>
      <c r="T20" s="102">
        <v>21.351875959374699</v>
      </c>
    </row>
    <row r="21" spans="1:25" s="99" customFormat="1" ht="16.5" customHeight="1" x14ac:dyDescent="0.3">
      <c r="A21" s="99" t="s">
        <v>182</v>
      </c>
      <c r="B21" s="102">
        <v>6.2325860797208401</v>
      </c>
      <c r="C21" s="102">
        <v>6.1296331158287902</v>
      </c>
      <c r="D21" s="102">
        <v>5.9076053942637303</v>
      </c>
      <c r="E21" s="102">
        <v>5.7812686819777799</v>
      </c>
      <c r="F21" s="102">
        <v>5.3424256241982997</v>
      </c>
      <c r="G21" s="102">
        <v>4.9880764630123799</v>
      </c>
      <c r="H21" s="102">
        <v>4.83538833486854</v>
      </c>
      <c r="I21" s="102">
        <v>4.5592803413012799</v>
      </c>
      <c r="J21" s="102">
        <v>4.4103425024527496</v>
      </c>
      <c r="K21" s="102">
        <v>4.3405732509042299</v>
      </c>
      <c r="L21" s="102">
        <v>4.3211438128928403</v>
      </c>
      <c r="M21" s="102">
        <v>4.0347467015670899</v>
      </c>
      <c r="N21" s="102">
        <v>3.7935289372619301</v>
      </c>
      <c r="O21" s="102">
        <v>3.4977459123669798</v>
      </c>
      <c r="P21" s="102">
        <v>3.15406016847813</v>
      </c>
      <c r="Q21" s="102">
        <v>2.8371036086741301</v>
      </c>
      <c r="R21" s="102">
        <v>2.5539100470851102</v>
      </c>
      <c r="S21" s="102">
        <v>1.62787647280515</v>
      </c>
      <c r="T21" s="102">
        <v>1.41621620639232</v>
      </c>
    </row>
    <row r="22" spans="1:25" s="99" customFormat="1" ht="16.5" customHeight="1" x14ac:dyDescent="0.3">
      <c r="A22" s="99" t="s">
        <v>183</v>
      </c>
      <c r="B22" s="102">
        <v>0.107725798772038</v>
      </c>
      <c r="C22" s="102">
        <v>0.102288826230058</v>
      </c>
      <c r="D22" s="102">
        <v>8.9894810398928604E-2</v>
      </c>
      <c r="E22" s="102">
        <v>8.4215685495965101E-2</v>
      </c>
      <c r="F22" s="102">
        <v>7.7937299235820906E-2</v>
      </c>
      <c r="G22" s="102">
        <v>7.3820289571998599E-2</v>
      </c>
      <c r="H22" s="102">
        <v>6.8394234602885198E-2</v>
      </c>
      <c r="I22" s="102">
        <v>6.6733393803775201E-2</v>
      </c>
      <c r="J22" s="102">
        <v>6.2807825229508299E-2</v>
      </c>
      <c r="K22" s="102">
        <v>6.2426159096748597E-2</v>
      </c>
      <c r="L22" s="102">
        <v>6.2139924118834199E-2</v>
      </c>
      <c r="M22" s="102">
        <v>5.6944103500649997E-2</v>
      </c>
      <c r="N22" s="102">
        <v>5.3872937554314299E-2</v>
      </c>
      <c r="O22" s="102">
        <v>5.0308997103272003E-2</v>
      </c>
      <c r="P22" s="102">
        <v>4.61068423833009E-2</v>
      </c>
      <c r="Q22" s="102">
        <v>4.1857401121969402E-2</v>
      </c>
      <c r="R22" s="102">
        <v>3.8233758568800902E-2</v>
      </c>
      <c r="S22" s="102">
        <v>3.4101156330087701E-2</v>
      </c>
      <c r="T22" s="102">
        <v>3.0487230345895702E-2</v>
      </c>
    </row>
    <row r="23" spans="1:25" s="99" customFormat="1" ht="16.5" customHeight="1" x14ac:dyDescent="0.3">
      <c r="A23" s="99" t="s">
        <v>184</v>
      </c>
      <c r="B23" s="102">
        <v>8.9120973575988697E-3</v>
      </c>
      <c r="C23" s="102">
        <v>8.8666956625791608E-3</v>
      </c>
      <c r="D23" s="102">
        <v>8.8697653661116999E-3</v>
      </c>
      <c r="E23" s="102">
        <v>8.8656685300568302E-3</v>
      </c>
      <c r="F23" s="102">
        <v>8.9107478259136501E-3</v>
      </c>
      <c r="G23" s="102">
        <v>8.9192151183559894E-3</v>
      </c>
      <c r="H23" s="102">
        <v>8.9551509171206505E-3</v>
      </c>
      <c r="I23" s="102">
        <v>8.9680705663400199E-3</v>
      </c>
      <c r="J23" s="102">
        <v>8.9712516715989704E-3</v>
      </c>
      <c r="K23" s="102">
        <v>8.9682694916494599E-3</v>
      </c>
      <c r="L23" s="102">
        <v>8.9431047172138893E-3</v>
      </c>
      <c r="M23" s="102">
        <v>8.9355116038363804E-3</v>
      </c>
      <c r="N23" s="102">
        <v>8.9233382323594592E-3</v>
      </c>
      <c r="O23" s="102">
        <v>8.9129018719733208E-3</v>
      </c>
      <c r="P23" s="102">
        <v>8.9008427012761907E-3</v>
      </c>
      <c r="Q23" s="102">
        <v>8.8906698649963405E-3</v>
      </c>
      <c r="R23" s="102">
        <v>8.8789791422813399E-3</v>
      </c>
      <c r="S23" s="102">
        <v>8.8667872803356602E-3</v>
      </c>
      <c r="T23" s="102">
        <v>8.8545603770695796E-3</v>
      </c>
    </row>
    <row r="24" spans="1:25" s="99" customFormat="1" ht="16.5" customHeight="1" x14ac:dyDescent="0.3">
      <c r="A24" s="99" t="s">
        <v>185</v>
      </c>
      <c r="B24" s="102">
        <v>1.84185202584761E-3</v>
      </c>
      <c r="C24" s="102">
        <v>1.8357639376384699E-3</v>
      </c>
      <c r="D24" s="102">
        <v>1.83483959641322E-3</v>
      </c>
      <c r="E24" s="102">
        <v>1.8333533602488199E-3</v>
      </c>
      <c r="F24" s="102">
        <v>1.8365769054508E-3</v>
      </c>
      <c r="G24" s="102">
        <v>1.83690954075494E-3</v>
      </c>
      <c r="H24" s="102">
        <v>1.83901749950157E-3</v>
      </c>
      <c r="I24" s="102">
        <v>1.84049880330709E-3</v>
      </c>
      <c r="J24" s="102">
        <v>1.84032381060963E-3</v>
      </c>
      <c r="K24" s="102">
        <v>1.8402201209202901E-3</v>
      </c>
      <c r="L24" s="102">
        <v>1.8385766622498201E-3</v>
      </c>
      <c r="M24" s="102">
        <v>1.8389337533302799E-3</v>
      </c>
      <c r="N24" s="102">
        <v>1.83754456871732E-3</v>
      </c>
      <c r="O24" s="102">
        <v>1.83616655644408E-3</v>
      </c>
      <c r="P24" s="102">
        <v>1.8344160386139501E-3</v>
      </c>
      <c r="Q24" s="102">
        <v>1.83294031597207E-3</v>
      </c>
      <c r="R24" s="102">
        <v>1.83133022575033E-3</v>
      </c>
      <c r="S24" s="102">
        <v>1.8296160791095499E-3</v>
      </c>
      <c r="T24" s="102">
        <v>1.8279450004042199E-3</v>
      </c>
      <c r="Y24" s="101"/>
    </row>
    <row r="25" spans="1:25" s="105" customFormat="1" ht="16.5" customHeight="1" x14ac:dyDescent="0.3">
      <c r="A25" s="100" t="s">
        <v>188</v>
      </c>
      <c r="B25" s="102"/>
      <c r="C25" s="102"/>
      <c r="D25" s="102"/>
      <c r="E25" s="102"/>
      <c r="F25" s="102"/>
      <c r="G25" s="102"/>
      <c r="H25" s="102"/>
      <c r="I25" s="102"/>
      <c r="J25" s="102"/>
      <c r="K25" s="102"/>
      <c r="L25" s="102"/>
      <c r="M25" s="102"/>
      <c r="N25" s="102"/>
      <c r="O25" s="102"/>
      <c r="P25" s="102"/>
      <c r="Q25" s="102"/>
      <c r="R25" s="102"/>
      <c r="S25" s="102"/>
      <c r="T25" s="102"/>
      <c r="U25" s="99"/>
      <c r="V25" s="99"/>
      <c r="W25" s="99"/>
    </row>
    <row r="26" spans="1:25" s="99" customFormat="1" ht="16.5" customHeight="1" x14ac:dyDescent="0.3">
      <c r="A26" s="99" t="s">
        <v>180</v>
      </c>
      <c r="B26" s="102">
        <v>4.7487195166148002</v>
      </c>
      <c r="C26" s="102">
        <v>5.0688430676736704</v>
      </c>
      <c r="D26" s="102">
        <v>4.9424914155108199</v>
      </c>
      <c r="E26" s="102">
        <v>4.91639601701561</v>
      </c>
      <c r="F26" s="102">
        <v>4.0243227829841697</v>
      </c>
      <c r="G26" s="102">
        <v>3.82534176611912</v>
      </c>
      <c r="H26" s="102">
        <v>3.25969532051537</v>
      </c>
      <c r="I26" s="102">
        <v>2.9538424614942</v>
      </c>
      <c r="J26" s="102">
        <v>2.8435816487109999</v>
      </c>
      <c r="K26" s="102">
        <v>2.7068988101144802</v>
      </c>
      <c r="L26" s="102">
        <v>2.7634474289990298</v>
      </c>
      <c r="M26" s="102">
        <v>2.7544698805726799</v>
      </c>
      <c r="N26" s="102">
        <v>2.6959833781979499</v>
      </c>
      <c r="O26" s="102">
        <v>2.67512573729659</v>
      </c>
      <c r="P26" s="102">
        <v>2.6420817052163099</v>
      </c>
      <c r="Q26" s="102">
        <v>2.61310740085993</v>
      </c>
      <c r="R26" s="102">
        <v>2.5863368043989201</v>
      </c>
      <c r="S26" s="102">
        <v>2.5651187647682301</v>
      </c>
      <c r="T26" s="102">
        <v>2.54386018627602</v>
      </c>
    </row>
    <row r="27" spans="1:25" s="99" customFormat="1" ht="16.5" customHeight="1" x14ac:dyDescent="0.3">
      <c r="A27" s="99" t="s">
        <v>181</v>
      </c>
      <c r="B27" s="102">
        <v>32.643434374596701</v>
      </c>
      <c r="C27" s="102">
        <v>36.777042698192297</v>
      </c>
      <c r="D27" s="102">
        <v>38.409499223187602</v>
      </c>
      <c r="E27" s="102">
        <v>39.643301432334198</v>
      </c>
      <c r="F27" s="102">
        <v>33.030838636401803</v>
      </c>
      <c r="G27" s="102">
        <v>28.260704269462</v>
      </c>
      <c r="H27" s="102">
        <v>25.7496984754859</v>
      </c>
      <c r="I27" s="102">
        <v>22.5863148175176</v>
      </c>
      <c r="J27" s="102">
        <v>19.336512544172301</v>
      </c>
      <c r="K27" s="102">
        <v>18.033994611877201</v>
      </c>
      <c r="L27" s="102">
        <v>17.8102044451146</v>
      </c>
      <c r="M27" s="102">
        <v>16.5218191735154</v>
      </c>
      <c r="N27" s="102">
        <v>15.873049741743699</v>
      </c>
      <c r="O27" s="102">
        <v>15.386702853766501</v>
      </c>
      <c r="P27" s="102">
        <v>14.939752915003901</v>
      </c>
      <c r="Q27" s="102">
        <v>14.5645326111011</v>
      </c>
      <c r="R27" s="102">
        <v>14.239156502387999</v>
      </c>
      <c r="S27" s="102">
        <v>13.7923489579884</v>
      </c>
      <c r="T27" s="102">
        <v>13.579638990256001</v>
      </c>
    </row>
    <row r="28" spans="1:25" s="99" customFormat="1" ht="16.5" customHeight="1" x14ac:dyDescent="0.3">
      <c r="A28" s="99" t="s">
        <v>182</v>
      </c>
      <c r="B28" s="102">
        <v>1.00994627942973</v>
      </c>
      <c r="C28" s="102">
        <v>1.11405545241438</v>
      </c>
      <c r="D28" s="102">
        <v>1.17363180320044</v>
      </c>
      <c r="E28" s="102">
        <v>1.2178432319808301</v>
      </c>
      <c r="F28" s="102">
        <v>1.07098766289486</v>
      </c>
      <c r="G28" s="102">
        <v>0.94365098006786696</v>
      </c>
      <c r="H28" s="102">
        <v>0.90050356459657699</v>
      </c>
      <c r="I28" s="102">
        <v>0.80278677516396602</v>
      </c>
      <c r="J28" s="102">
        <v>0.78628932624784598</v>
      </c>
      <c r="K28" s="102">
        <v>0.77527767208672904</v>
      </c>
      <c r="L28" s="102">
        <v>0.78901896813260797</v>
      </c>
      <c r="M28" s="102">
        <v>0.75225275941230796</v>
      </c>
      <c r="N28" s="102">
        <v>0.74911820918468297</v>
      </c>
      <c r="O28" s="102">
        <v>0.74338796540521102</v>
      </c>
      <c r="P28" s="102">
        <v>0.73786121603114896</v>
      </c>
      <c r="Q28" s="102">
        <v>0.73327081071966704</v>
      </c>
      <c r="R28" s="102">
        <v>0.72935052121380495</v>
      </c>
      <c r="S28" s="102">
        <v>0.72200597431757396</v>
      </c>
      <c r="T28" s="102">
        <v>0.71943706740872104</v>
      </c>
    </row>
    <row r="29" spans="1:25" s="99" customFormat="1" ht="16.5" customHeight="1" x14ac:dyDescent="0.3">
      <c r="A29" s="99" t="s">
        <v>183</v>
      </c>
      <c r="B29" s="102">
        <v>4.1421925479787597E-2</v>
      </c>
      <c r="C29" s="102">
        <v>4.1084268248934797E-2</v>
      </c>
      <c r="D29" s="102">
        <v>3.9460150411863099E-2</v>
      </c>
      <c r="E29" s="102">
        <v>3.8342156038771301E-2</v>
      </c>
      <c r="F29" s="102">
        <v>3.3018331652458002E-2</v>
      </c>
      <c r="G29" s="102">
        <v>2.98687303199076E-2</v>
      </c>
      <c r="H29" s="102">
        <v>2.7424883406445201E-2</v>
      </c>
      <c r="I29" s="102">
        <v>2.6122958889567501E-2</v>
      </c>
      <c r="J29" s="102">
        <v>2.57639987112167E-2</v>
      </c>
      <c r="K29" s="102">
        <v>2.52458701117814E-2</v>
      </c>
      <c r="L29" s="102">
        <v>2.5539282410479799E-2</v>
      </c>
      <c r="M29" s="102">
        <v>2.5404865496415199E-2</v>
      </c>
      <c r="N29" s="102">
        <v>2.5393475611064999E-2</v>
      </c>
      <c r="O29" s="102">
        <v>2.52496895167417E-2</v>
      </c>
      <c r="P29" s="102">
        <v>2.51088160699777E-2</v>
      </c>
      <c r="Q29" s="102">
        <v>2.4991904856624898E-2</v>
      </c>
      <c r="R29" s="102">
        <v>2.4891455416247699E-2</v>
      </c>
      <c r="S29" s="102">
        <v>2.42818873744826E-2</v>
      </c>
      <c r="T29" s="102">
        <v>2.42065519067216E-2</v>
      </c>
    </row>
    <row r="30" spans="1:25" s="99" customFormat="1" ht="16.5" customHeight="1" x14ac:dyDescent="0.3">
      <c r="A30" s="99" t="s">
        <v>184</v>
      </c>
      <c r="B30" s="102">
        <v>1.49523421875057E-3</v>
      </c>
      <c r="C30" s="102">
        <v>1.4952335403231E-3</v>
      </c>
      <c r="D30" s="102">
        <v>1.49522731605497E-3</v>
      </c>
      <c r="E30" s="102">
        <v>1.4952418133198E-3</v>
      </c>
      <c r="F30" s="102">
        <v>1.4952457432599201E-3</v>
      </c>
      <c r="G30" s="102">
        <v>1.4952227620410299E-3</v>
      </c>
      <c r="H30" s="102">
        <v>1.4952444005662301E-3</v>
      </c>
      <c r="I30" s="102">
        <v>1.49521289994478E-3</v>
      </c>
      <c r="J30" s="102">
        <v>1.4952469374125801E-3</v>
      </c>
      <c r="K30" s="102">
        <v>1.49524760155567E-3</v>
      </c>
      <c r="L30" s="102">
        <v>1.4952480269134899E-3</v>
      </c>
      <c r="M30" s="102">
        <v>1.4952418901698101E-3</v>
      </c>
      <c r="N30" s="102">
        <v>1.49524658495886E-3</v>
      </c>
      <c r="O30" s="102">
        <v>1.4950821094047099E-3</v>
      </c>
      <c r="P30" s="102">
        <v>1.4950377530024101E-3</v>
      </c>
      <c r="Q30" s="102">
        <v>1.49512582199576E-3</v>
      </c>
      <c r="R30" s="102">
        <v>1.4952414900701299E-3</v>
      </c>
      <c r="S30" s="102">
        <v>1.49523887389759E-3</v>
      </c>
      <c r="T30" s="102">
        <v>1.4952333326580199E-3</v>
      </c>
    </row>
    <row r="31" spans="1:25" s="99" customFormat="1" ht="16.5" customHeight="1" x14ac:dyDescent="0.3">
      <c r="A31" s="99" t="s">
        <v>185</v>
      </c>
      <c r="B31" s="102">
        <v>6.44477972546791E-4</v>
      </c>
      <c r="C31" s="102">
        <v>6.4447788632822898E-4</v>
      </c>
      <c r="D31" s="102">
        <v>6.44476238894829E-4</v>
      </c>
      <c r="E31" s="102">
        <v>6.44481238663487E-4</v>
      </c>
      <c r="F31" s="102">
        <v>6.4448356113589898E-4</v>
      </c>
      <c r="G31" s="102">
        <v>6.44473713037788E-4</v>
      </c>
      <c r="H31" s="102">
        <v>6.4448300360054201E-4</v>
      </c>
      <c r="I31" s="102">
        <v>6.4446879416842897E-4</v>
      </c>
      <c r="J31" s="102">
        <v>6.4448387860895399E-4</v>
      </c>
      <c r="K31" s="102">
        <v>6.4448392936683604E-4</v>
      </c>
      <c r="L31" s="102">
        <v>6.4448364500931403E-4</v>
      </c>
      <c r="M31" s="102">
        <v>6.4448168439452795E-4</v>
      </c>
      <c r="N31" s="102">
        <v>6.4448370396518004E-4</v>
      </c>
      <c r="O31" s="102">
        <v>6.4441218410745901E-4</v>
      </c>
      <c r="P31" s="102">
        <v>6.4439252567071597E-4</v>
      </c>
      <c r="Q31" s="102">
        <v>6.4443055881221599E-4</v>
      </c>
      <c r="R31" s="102">
        <v>6.4448039214940302E-4</v>
      </c>
      <c r="S31" s="102">
        <v>6.4447958109597797E-4</v>
      </c>
      <c r="T31" s="102">
        <v>6.4447766449436401E-4</v>
      </c>
    </row>
    <row r="32" spans="1:25" s="99" customFormat="1" ht="16.5" customHeight="1" x14ac:dyDescent="0.3">
      <c r="A32" s="100" t="s">
        <v>189</v>
      </c>
      <c r="B32" s="102"/>
      <c r="C32" s="102"/>
      <c r="D32" s="102"/>
      <c r="E32" s="102"/>
      <c r="F32" s="102"/>
      <c r="G32" s="102"/>
      <c r="H32" s="102"/>
      <c r="I32" s="102"/>
      <c r="J32" s="102"/>
      <c r="K32" s="102"/>
      <c r="L32" s="102"/>
      <c r="M32" s="102"/>
      <c r="N32" s="102"/>
      <c r="O32" s="102"/>
      <c r="P32" s="102"/>
      <c r="Q32" s="102"/>
      <c r="R32" s="102"/>
      <c r="S32" s="102"/>
      <c r="T32" s="102"/>
    </row>
    <row r="33" spans="1:25" s="99" customFormat="1" ht="16.5" customHeight="1" x14ac:dyDescent="0.3">
      <c r="A33" s="100" t="s">
        <v>179</v>
      </c>
      <c r="B33" s="102"/>
      <c r="C33" s="102"/>
      <c r="D33" s="102"/>
      <c r="E33" s="102"/>
      <c r="F33" s="102"/>
      <c r="G33" s="102"/>
      <c r="H33" s="102"/>
      <c r="I33" s="102"/>
      <c r="J33" s="102"/>
      <c r="K33" s="102"/>
      <c r="L33" s="102"/>
      <c r="M33" s="102"/>
      <c r="N33" s="102"/>
      <c r="O33" s="102"/>
      <c r="P33" s="102"/>
      <c r="Q33" s="102"/>
      <c r="R33" s="102"/>
      <c r="S33" s="102"/>
      <c r="T33" s="102"/>
    </row>
    <row r="34" spans="1:25" s="99" customFormat="1" ht="16.5" customHeight="1" x14ac:dyDescent="0.3">
      <c r="A34" s="99" t="s">
        <v>180</v>
      </c>
      <c r="B34" s="102">
        <v>2.9191085070079801</v>
      </c>
      <c r="C34" s="102">
        <v>2.8118275784430402</v>
      </c>
      <c r="D34" s="102">
        <v>2.5039901144521601</v>
      </c>
      <c r="E34" s="102">
        <v>2.2881317829621799</v>
      </c>
      <c r="F34" s="102">
        <v>2.1259775949542599</v>
      </c>
      <c r="G34" s="102">
        <v>1.9154222795565099</v>
      </c>
      <c r="H34" s="102">
        <v>1.6485470307458401</v>
      </c>
      <c r="I34" s="102">
        <v>1.56726559692255</v>
      </c>
      <c r="J34" s="102">
        <v>1.51251483029551</v>
      </c>
      <c r="K34" s="102">
        <v>1.2821352636124499</v>
      </c>
      <c r="L34" s="102">
        <v>0.93911562437109597</v>
      </c>
      <c r="M34" s="102">
        <v>0.66581532566000301</v>
      </c>
      <c r="N34" s="102">
        <v>0.49707288474491301</v>
      </c>
      <c r="O34" s="102">
        <v>0.35124859799746699</v>
      </c>
      <c r="P34" s="102">
        <v>0.26984910163584702</v>
      </c>
      <c r="Q34" s="102">
        <v>0.23189934119328201</v>
      </c>
      <c r="R34" s="102">
        <v>0.202065641252968</v>
      </c>
      <c r="S34" s="102">
        <v>0.191867535686366</v>
      </c>
      <c r="T34" s="102">
        <v>0.18264420727942099</v>
      </c>
    </row>
    <row r="35" spans="1:25" s="99" customFormat="1" ht="16.5" customHeight="1" x14ac:dyDescent="0.3">
      <c r="A35" s="99" t="s">
        <v>181</v>
      </c>
      <c r="B35" s="102">
        <v>47.203675243773198</v>
      </c>
      <c r="C35" s="102">
        <v>44.202118501804598</v>
      </c>
      <c r="D35" s="102">
        <v>38.234636837264603</v>
      </c>
      <c r="E35" s="102">
        <v>34.422045480375502</v>
      </c>
      <c r="F35" s="102">
        <v>31.586680849275702</v>
      </c>
      <c r="G35" s="102">
        <v>28.0162277720442</v>
      </c>
      <c r="H35" s="102">
        <v>23.928435462889301</v>
      </c>
      <c r="I35" s="102">
        <v>22.682491788592099</v>
      </c>
      <c r="J35" s="102">
        <v>21.711770395761299</v>
      </c>
      <c r="K35" s="102">
        <v>18.4184561491175</v>
      </c>
      <c r="L35" s="102">
        <v>13.603709951006801</v>
      </c>
      <c r="M35" s="102">
        <v>9.5118377436930892</v>
      </c>
      <c r="N35" s="102">
        <v>7.0515769622518203</v>
      </c>
      <c r="O35" s="102">
        <v>4.9979210399896496</v>
      </c>
      <c r="P35" s="102">
        <v>3.7697724963874601</v>
      </c>
      <c r="Q35" s="102">
        <v>3.2047912086543699</v>
      </c>
      <c r="R35" s="102">
        <v>2.8762849256758201</v>
      </c>
      <c r="S35" s="102">
        <v>2.760649955961</v>
      </c>
      <c r="T35" s="102">
        <v>2.6629088692621701</v>
      </c>
    </row>
    <row r="36" spans="1:25" s="99" customFormat="1" ht="16.5" customHeight="1" x14ac:dyDescent="0.3">
      <c r="A36" s="99" t="s">
        <v>182</v>
      </c>
      <c r="B36" s="102">
        <v>2.90643036879242</v>
      </c>
      <c r="C36" s="102">
        <v>2.6439922898855102</v>
      </c>
      <c r="D36" s="102">
        <v>2.22373121372808</v>
      </c>
      <c r="E36" s="102">
        <v>2.0202140918405198</v>
      </c>
      <c r="F36" s="102">
        <v>1.87623836516571</v>
      </c>
      <c r="G36" s="102">
        <v>1.6910550287803301</v>
      </c>
      <c r="H36" s="102">
        <v>1.4843166754817301</v>
      </c>
      <c r="I36" s="102">
        <v>1.44925204030088</v>
      </c>
      <c r="J36" s="102">
        <v>1.42146835167495</v>
      </c>
      <c r="K36" s="102">
        <v>1.2562514746620099</v>
      </c>
      <c r="L36" s="102">
        <v>1.0083023838637299</v>
      </c>
      <c r="M36" s="102">
        <v>0.78341016048883405</v>
      </c>
      <c r="N36" s="102">
        <v>0.58003635925998398</v>
      </c>
      <c r="O36" s="102">
        <v>0.43869694199446402</v>
      </c>
      <c r="P36" s="102">
        <v>0.32016053412242801</v>
      </c>
      <c r="Q36" s="102">
        <v>0.24759096043229001</v>
      </c>
      <c r="R36" s="102">
        <v>0.19855485550049201</v>
      </c>
      <c r="S36" s="102">
        <v>0.17420288808686499</v>
      </c>
      <c r="T36" s="102">
        <v>0.152506742327678</v>
      </c>
    </row>
    <row r="37" spans="1:25" s="99" customFormat="1" ht="16.5" customHeight="1" x14ac:dyDescent="0.3">
      <c r="A37" s="99" t="s">
        <v>183</v>
      </c>
      <c r="B37" s="102">
        <v>6.6050487627981297E-2</v>
      </c>
      <c r="C37" s="102">
        <v>6.7192901616325004E-2</v>
      </c>
      <c r="D37" s="102">
        <v>6.5145523337214004E-2</v>
      </c>
      <c r="E37" s="102">
        <v>6.1533700453924298E-2</v>
      </c>
      <c r="F37" s="102">
        <v>5.8150349817033903E-2</v>
      </c>
      <c r="G37" s="102">
        <v>5.2197681244442497E-2</v>
      </c>
      <c r="H37" s="102">
        <v>4.3182507885006799E-2</v>
      </c>
      <c r="I37" s="102">
        <v>4.08845574190898E-2</v>
      </c>
      <c r="J37" s="102">
        <v>3.8503965489237998E-2</v>
      </c>
      <c r="K37" s="102">
        <v>3.2196483096303199E-2</v>
      </c>
      <c r="L37" s="102">
        <v>2.3427237247318201E-2</v>
      </c>
      <c r="M37" s="102">
        <v>1.6248302090964301E-2</v>
      </c>
      <c r="N37" s="102">
        <v>1.1904436954640199E-2</v>
      </c>
      <c r="O37" s="102">
        <v>8.5787218009466103E-3</v>
      </c>
      <c r="P37" s="102">
        <v>6.0872739705559202E-3</v>
      </c>
      <c r="Q37" s="102">
        <v>4.8935152876506197E-3</v>
      </c>
      <c r="R37" s="102">
        <v>4.3023061890758501E-3</v>
      </c>
      <c r="S37" s="102">
        <v>4.1434024971211403E-3</v>
      </c>
      <c r="T37" s="102">
        <v>3.9345735254469301E-3</v>
      </c>
    </row>
    <row r="38" spans="1:25" s="99" customFormat="1" ht="16.5" customHeight="1" x14ac:dyDescent="0.3">
      <c r="A38" s="99" t="s">
        <v>184</v>
      </c>
      <c r="B38" s="102">
        <v>2.6574106530307799E-3</v>
      </c>
      <c r="C38" s="102">
        <v>2.6574132127539598E-3</v>
      </c>
      <c r="D38" s="102">
        <v>2.6574120675182302E-3</v>
      </c>
      <c r="E38" s="102">
        <v>2.6574118313665101E-3</v>
      </c>
      <c r="F38" s="102">
        <v>2.6574109394366099E-3</v>
      </c>
      <c r="G38" s="102">
        <v>2.6574077305868199E-3</v>
      </c>
      <c r="H38" s="102">
        <v>2.6574093524076802E-3</v>
      </c>
      <c r="I38" s="102">
        <v>2.6574075217405701E-3</v>
      </c>
      <c r="J38" s="102">
        <v>2.6574117911871398E-3</v>
      </c>
      <c r="K38" s="102">
        <v>2.65740591458314E-3</v>
      </c>
      <c r="L38" s="102">
        <v>2.6574105646474601E-3</v>
      </c>
      <c r="M38" s="102">
        <v>2.65741541717058E-3</v>
      </c>
      <c r="N38" s="102">
        <v>2.6574137422980901E-3</v>
      </c>
      <c r="O38" s="102">
        <v>2.6574109767841E-3</v>
      </c>
      <c r="P38" s="102">
        <v>2.65741712910607E-3</v>
      </c>
      <c r="Q38" s="102">
        <v>2.65741306064204E-3</v>
      </c>
      <c r="R38" s="102">
        <v>2.6574179389745201E-3</v>
      </c>
      <c r="S38" s="102">
        <v>2.65741920925513E-3</v>
      </c>
      <c r="T38" s="102">
        <v>2.6574114096497999E-3</v>
      </c>
      <c r="W38" s="101"/>
    </row>
    <row r="39" spans="1:25" s="99" customFormat="1" ht="16.5" customHeight="1" x14ac:dyDescent="0.3">
      <c r="A39" s="99" t="s">
        <v>185</v>
      </c>
      <c r="B39" s="102">
        <v>1.2863053623294401E-3</v>
      </c>
      <c r="C39" s="102">
        <v>1.2863066249224301E-3</v>
      </c>
      <c r="D39" s="102">
        <v>1.28630576571235E-3</v>
      </c>
      <c r="E39" s="102">
        <v>1.2863056025083099E-3</v>
      </c>
      <c r="F39" s="102">
        <v>1.2863043391398701E-3</v>
      </c>
      <c r="G39" s="102">
        <v>1.2863062621373501E-3</v>
      </c>
      <c r="H39" s="102">
        <v>1.28630613310278E-3</v>
      </c>
      <c r="I39" s="102">
        <v>1.28630542720604E-3</v>
      </c>
      <c r="J39" s="102">
        <v>1.2863060361682601E-3</v>
      </c>
      <c r="K39" s="102">
        <v>1.2863057367243299E-3</v>
      </c>
      <c r="L39" s="102">
        <v>1.2863064892686799E-3</v>
      </c>
      <c r="M39" s="102">
        <v>1.28630720147992E-3</v>
      </c>
      <c r="N39" s="102">
        <v>1.28630719320611E-3</v>
      </c>
      <c r="O39" s="102">
        <v>1.28630707910505E-3</v>
      </c>
      <c r="P39" s="102">
        <v>1.2863072514311001E-3</v>
      </c>
      <c r="Q39" s="102">
        <v>1.28630834102234E-3</v>
      </c>
      <c r="R39" s="102">
        <v>1.2863076723002801E-3</v>
      </c>
      <c r="S39" s="102">
        <v>1.28630791769629E-3</v>
      </c>
      <c r="T39" s="102">
        <v>1.2863079812360501E-3</v>
      </c>
      <c r="W39" s="101"/>
      <c r="Y39" s="101"/>
    </row>
    <row r="40" spans="1:25" s="99" customFormat="1" ht="16.5" customHeight="1" x14ac:dyDescent="0.3">
      <c r="A40" s="100" t="s">
        <v>186</v>
      </c>
      <c r="B40" s="102"/>
      <c r="C40" s="102"/>
      <c r="D40" s="102"/>
      <c r="E40" s="102"/>
      <c r="F40" s="102"/>
      <c r="G40" s="102"/>
      <c r="H40" s="102"/>
      <c r="I40" s="102"/>
      <c r="J40" s="102"/>
      <c r="K40" s="102"/>
      <c r="L40" s="102"/>
      <c r="M40" s="102"/>
      <c r="N40" s="102"/>
      <c r="O40" s="102"/>
      <c r="P40" s="102"/>
      <c r="Q40" s="102"/>
      <c r="R40" s="102"/>
      <c r="S40" s="102"/>
      <c r="T40" s="102"/>
      <c r="W40" s="101"/>
    </row>
    <row r="41" spans="1:25" s="99" customFormat="1" ht="16.5" customHeight="1" x14ac:dyDescent="0.3">
      <c r="A41" s="99" t="s">
        <v>180</v>
      </c>
      <c r="B41" s="102">
        <v>0.80001440154609604</v>
      </c>
      <c r="C41" s="102">
        <v>0.76066917032241299</v>
      </c>
      <c r="D41" s="102">
        <v>0.72538430897075801</v>
      </c>
      <c r="E41" s="102">
        <v>0.75624664323993296</v>
      </c>
      <c r="F41" s="102">
        <v>0.74698486517823703</v>
      </c>
      <c r="G41" s="102">
        <v>0.78382133641926899</v>
      </c>
      <c r="H41" s="102">
        <v>0.77846484535327598</v>
      </c>
      <c r="I41" s="102">
        <v>0.76048132716609496</v>
      </c>
      <c r="J41" s="102">
        <v>0.73418417623961496</v>
      </c>
      <c r="K41" s="102">
        <v>0.74578106456933602</v>
      </c>
      <c r="L41" s="102">
        <v>0.75401345499075501</v>
      </c>
      <c r="M41" s="102">
        <v>0.72643044420841096</v>
      </c>
      <c r="N41" s="102">
        <v>0.65185098222913396</v>
      </c>
      <c r="O41" s="102">
        <v>0.58309132457327095</v>
      </c>
      <c r="P41" s="102">
        <v>0.50435976640038904</v>
      </c>
      <c r="Q41" s="102">
        <v>0.44844814483724699</v>
      </c>
      <c r="R41" s="102">
        <v>0.39930142192406198</v>
      </c>
      <c r="S41" s="102">
        <v>0.35840563184191998</v>
      </c>
      <c r="T41" s="102">
        <v>0.32443247290137101</v>
      </c>
      <c r="W41" s="101"/>
    </row>
    <row r="42" spans="1:25" s="99" customFormat="1" ht="16.5" customHeight="1" x14ac:dyDescent="0.3">
      <c r="A42" s="99" t="s">
        <v>181</v>
      </c>
      <c r="B42" s="102">
        <v>9.7797238150722201</v>
      </c>
      <c r="C42" s="102">
        <v>8.52842231087903</v>
      </c>
      <c r="D42" s="102">
        <v>7.9234967317656304</v>
      </c>
      <c r="E42" s="102">
        <v>7.7239691110857898</v>
      </c>
      <c r="F42" s="102">
        <v>7.4191936449673603</v>
      </c>
      <c r="G42" s="102">
        <v>7.4348048270382101</v>
      </c>
      <c r="H42" s="102">
        <v>7.1449449439675199</v>
      </c>
      <c r="I42" s="102">
        <v>7.0029326802875902</v>
      </c>
      <c r="J42" s="102">
        <v>6.6311315335499303</v>
      </c>
      <c r="K42" s="102">
        <v>6.6563269477779601</v>
      </c>
      <c r="L42" s="102">
        <v>6.6329463713020997</v>
      </c>
      <c r="M42" s="102">
        <v>6.4563177867905601</v>
      </c>
      <c r="N42" s="102">
        <v>5.7532041461549799</v>
      </c>
      <c r="O42" s="102">
        <v>5.0239432948110201</v>
      </c>
      <c r="P42" s="102">
        <v>4.2865980644285404</v>
      </c>
      <c r="Q42" s="102">
        <v>3.7633629185668598</v>
      </c>
      <c r="R42" s="102">
        <v>3.3435328120908601</v>
      </c>
      <c r="S42" s="102">
        <v>3.01838104953482</v>
      </c>
      <c r="T42" s="102">
        <v>2.75433707955245</v>
      </c>
      <c r="W42" s="101"/>
    </row>
    <row r="43" spans="1:25" s="99" customFormat="1" ht="16.5" customHeight="1" x14ac:dyDescent="0.3">
      <c r="A43" s="99" t="s">
        <v>182</v>
      </c>
      <c r="B43" s="102">
        <v>4.5027834226408299</v>
      </c>
      <c r="C43" s="102">
        <v>4.53697479199396</v>
      </c>
      <c r="D43" s="102">
        <v>4.3905695936644404</v>
      </c>
      <c r="E43" s="102">
        <v>4.0957327345788999</v>
      </c>
      <c r="F43" s="102">
        <v>3.8532413024996899</v>
      </c>
      <c r="G43" s="102">
        <v>3.6951543823646</v>
      </c>
      <c r="H43" s="102">
        <v>3.58727281510303</v>
      </c>
      <c r="I43" s="102">
        <v>3.3907086159789901</v>
      </c>
      <c r="J43" s="102">
        <v>3.2023915605118298</v>
      </c>
      <c r="K43" s="102">
        <v>3.1293372745865899</v>
      </c>
      <c r="L43" s="102">
        <v>3.0108029019405498</v>
      </c>
      <c r="M43" s="102">
        <v>2.8510845357360002</v>
      </c>
      <c r="N43" s="102">
        <v>2.5636179385250202</v>
      </c>
      <c r="O43" s="102">
        <v>2.3031860729149298</v>
      </c>
      <c r="P43" s="102">
        <v>2.06057743387084</v>
      </c>
      <c r="Q43" s="102">
        <v>1.83422906001269</v>
      </c>
      <c r="R43" s="102">
        <v>1.6399532806424499</v>
      </c>
      <c r="S43" s="102">
        <v>1.4731783862337899</v>
      </c>
      <c r="T43" s="102">
        <v>1.3206967331906401</v>
      </c>
      <c r="W43" s="101"/>
    </row>
    <row r="44" spans="1:25" s="105" customFormat="1" ht="16.5" customHeight="1" x14ac:dyDescent="0.3">
      <c r="A44" s="99" t="s">
        <v>183</v>
      </c>
      <c r="B44" s="102">
        <v>0.23540848213843901</v>
      </c>
      <c r="C44" s="102">
        <v>0.22807821703700201</v>
      </c>
      <c r="D44" s="102">
        <v>0.209762116752579</v>
      </c>
      <c r="E44" s="102">
        <v>0.203940747107314</v>
      </c>
      <c r="F44" s="102">
        <v>0.19400163849074101</v>
      </c>
      <c r="G44" s="102">
        <v>0.19279616444344799</v>
      </c>
      <c r="H44" s="102">
        <v>0.187362538291689</v>
      </c>
      <c r="I44" s="102">
        <v>0.172288902066806</v>
      </c>
      <c r="J44" s="102">
        <v>0.15670169557000499</v>
      </c>
      <c r="K44" s="102">
        <v>0.15415183774806299</v>
      </c>
      <c r="L44" s="102">
        <v>0.15252664813957201</v>
      </c>
      <c r="M44" s="102">
        <v>0.141530434542539</v>
      </c>
      <c r="N44" s="102">
        <v>0.123267245531723</v>
      </c>
      <c r="O44" s="102">
        <v>0.107188365208069</v>
      </c>
      <c r="P44" s="102">
        <v>8.8170557968574897E-2</v>
      </c>
      <c r="Q44" s="102">
        <v>7.4702191957415898E-2</v>
      </c>
      <c r="R44" s="102">
        <v>6.31130713191181E-2</v>
      </c>
      <c r="S44" s="102">
        <v>5.3232927069272601E-2</v>
      </c>
      <c r="T44" s="102">
        <v>4.50829740656193E-2</v>
      </c>
      <c r="U44" s="99"/>
      <c r="V44" s="99"/>
      <c r="W44" s="101"/>
      <c r="X44" s="99"/>
    </row>
    <row r="45" spans="1:25" s="99" customFormat="1" ht="16.5" customHeight="1" x14ac:dyDescent="0.3">
      <c r="A45" s="99" t="s">
        <v>184</v>
      </c>
      <c r="B45" s="102">
        <v>2.9161361154477002E-3</v>
      </c>
      <c r="C45" s="102">
        <v>2.9181360068453901E-3</v>
      </c>
      <c r="D45" s="102">
        <v>2.9173210758299101E-3</v>
      </c>
      <c r="E45" s="102">
        <v>2.9165894256801298E-3</v>
      </c>
      <c r="F45" s="102">
        <v>2.9160113805630499E-3</v>
      </c>
      <c r="G45" s="102">
        <v>2.91580410743732E-3</v>
      </c>
      <c r="H45" s="102">
        <v>2.9158994376421001E-3</v>
      </c>
      <c r="I45" s="102">
        <v>2.9155699835840898E-3</v>
      </c>
      <c r="J45" s="102">
        <v>2.9153910405860899E-3</v>
      </c>
      <c r="K45" s="102">
        <v>2.91503810170598E-3</v>
      </c>
      <c r="L45" s="102">
        <v>2.9146467158567202E-3</v>
      </c>
      <c r="M45" s="102">
        <v>2.9144616997914402E-3</v>
      </c>
      <c r="N45" s="102">
        <v>2.91441707766027E-3</v>
      </c>
      <c r="O45" s="102">
        <v>2.91439734360498E-3</v>
      </c>
      <c r="P45" s="102">
        <v>2.9143537844169699E-3</v>
      </c>
      <c r="Q45" s="102">
        <v>2.9143107598509398E-3</v>
      </c>
      <c r="R45" s="102">
        <v>2.91426339982491E-3</v>
      </c>
      <c r="S45" s="102">
        <v>2.91421736895927E-3</v>
      </c>
      <c r="T45" s="102">
        <v>2.9141785056900501E-3</v>
      </c>
      <c r="W45" s="101"/>
    </row>
    <row r="46" spans="1:25" s="99" customFormat="1" ht="16.5" customHeight="1" x14ac:dyDescent="0.3">
      <c r="A46" s="99" t="s">
        <v>185</v>
      </c>
      <c r="B46" s="102">
        <v>1.55573398901618E-3</v>
      </c>
      <c r="C46" s="102">
        <v>1.57711066046219E-3</v>
      </c>
      <c r="D46" s="102">
        <v>1.5742801541955599E-3</v>
      </c>
      <c r="E46" s="102">
        <v>1.5714020521368701E-3</v>
      </c>
      <c r="F46" s="102">
        <v>1.56968969932074E-3</v>
      </c>
      <c r="G46" s="102">
        <v>1.5731573962342799E-3</v>
      </c>
      <c r="H46" s="102">
        <v>1.5808355410354899E-3</v>
      </c>
      <c r="I46" s="102">
        <v>1.58014593127399E-3</v>
      </c>
      <c r="J46" s="102">
        <v>1.5815929588578401E-3</v>
      </c>
      <c r="K46" s="102">
        <v>1.5789111672002501E-3</v>
      </c>
      <c r="L46" s="102">
        <v>1.5755128379464E-3</v>
      </c>
      <c r="M46" s="102">
        <v>1.5761006040918399E-3</v>
      </c>
      <c r="N46" s="102">
        <v>1.57755811285851E-3</v>
      </c>
      <c r="O46" s="102">
        <v>1.5790783334858E-3</v>
      </c>
      <c r="P46" s="102">
        <v>1.5802110316741501E-3</v>
      </c>
      <c r="Q46" s="102">
        <v>1.5811417999572299E-3</v>
      </c>
      <c r="R46" s="102">
        <v>1.58182611443793E-3</v>
      </c>
      <c r="S46" s="102">
        <v>1.58238115713886E-3</v>
      </c>
      <c r="T46" s="102">
        <v>1.5828308843326901E-3</v>
      </c>
      <c r="W46" s="101"/>
    </row>
    <row r="47" spans="1:25" s="99" customFormat="1" ht="16.5" customHeight="1" x14ac:dyDescent="0.3">
      <c r="A47" s="100" t="s">
        <v>187</v>
      </c>
      <c r="B47" s="102"/>
      <c r="C47" s="102"/>
      <c r="D47" s="102"/>
      <c r="E47" s="102"/>
      <c r="F47" s="102"/>
      <c r="G47" s="102"/>
      <c r="H47" s="102"/>
      <c r="I47" s="102"/>
      <c r="J47" s="102"/>
      <c r="K47" s="102"/>
      <c r="L47" s="102"/>
      <c r="M47" s="102"/>
      <c r="N47" s="102"/>
      <c r="O47" s="102"/>
      <c r="P47" s="102"/>
      <c r="Q47" s="102"/>
      <c r="R47" s="102"/>
      <c r="S47" s="102"/>
      <c r="T47" s="102"/>
      <c r="W47" s="101"/>
    </row>
    <row r="48" spans="1:25" s="99" customFormat="1" ht="16.5" customHeight="1" x14ac:dyDescent="0.3">
      <c r="A48" s="99" t="s">
        <v>180</v>
      </c>
      <c r="B48" s="102">
        <v>1.1719230631898401</v>
      </c>
      <c r="C48" s="102">
        <v>1.16632448291042</v>
      </c>
      <c r="D48" s="102">
        <v>1.15886525279735</v>
      </c>
      <c r="E48" s="102">
        <v>1.17031501968343</v>
      </c>
      <c r="F48" s="102">
        <v>1.20059056120755</v>
      </c>
      <c r="G48" s="102">
        <v>1.1932100951901099</v>
      </c>
      <c r="H48" s="102">
        <v>1.1705689815439599</v>
      </c>
      <c r="I48" s="102">
        <v>1.0924691853195201</v>
      </c>
      <c r="J48" s="102">
        <v>1.06377621877406</v>
      </c>
      <c r="K48" s="102">
        <v>1.05879018061271</v>
      </c>
      <c r="L48" s="102">
        <v>1.06979965740736</v>
      </c>
      <c r="M48" s="102">
        <v>1.0314232538832699</v>
      </c>
      <c r="N48" s="102">
        <v>0.97292432977127097</v>
      </c>
      <c r="O48" s="102">
        <v>0.91744490620443098</v>
      </c>
      <c r="P48" s="102">
        <v>0.83541889011497905</v>
      </c>
      <c r="Q48" s="102">
        <v>0.780593866656767</v>
      </c>
      <c r="R48" s="102">
        <v>0.73158926489822695</v>
      </c>
      <c r="S48" s="102">
        <v>0.68655684182632704</v>
      </c>
      <c r="T48" s="102">
        <v>0.644609059635466</v>
      </c>
      <c r="W48" s="101"/>
    </row>
    <row r="49" spans="1:20" s="99" customFormat="1" ht="16.5" customHeight="1" x14ac:dyDescent="0.3">
      <c r="A49" s="99" t="s">
        <v>181</v>
      </c>
      <c r="B49" s="102">
        <v>4.7542367474442804</v>
      </c>
      <c r="C49" s="102">
        <v>4.7458405432310302</v>
      </c>
      <c r="D49" s="102">
        <v>4.7351701856298298</v>
      </c>
      <c r="E49" s="102">
        <v>4.7349214251426597</v>
      </c>
      <c r="F49" s="102">
        <v>4.8502837760318798</v>
      </c>
      <c r="G49" s="102">
        <v>4.7347705065429597</v>
      </c>
      <c r="H49" s="102">
        <v>4.5340643347919203</v>
      </c>
      <c r="I49" s="102">
        <v>4.0853559536905104</v>
      </c>
      <c r="J49" s="102">
        <v>3.9082666309136198</v>
      </c>
      <c r="K49" s="102">
        <v>3.8480772119475102</v>
      </c>
      <c r="L49" s="102">
        <v>3.85089104198078</v>
      </c>
      <c r="M49" s="102">
        <v>3.6513571682455002</v>
      </c>
      <c r="N49" s="102">
        <v>3.3924145562098902</v>
      </c>
      <c r="O49" s="102">
        <v>3.15104877191271</v>
      </c>
      <c r="P49" s="102">
        <v>2.8037186840167401</v>
      </c>
      <c r="Q49" s="102">
        <v>2.5697435140812299</v>
      </c>
      <c r="R49" s="102">
        <v>2.3610807836814298</v>
      </c>
      <c r="S49" s="102">
        <v>2.1707647526537999</v>
      </c>
      <c r="T49" s="102">
        <v>1.9940942842838401</v>
      </c>
    </row>
    <row r="50" spans="1:20" s="99" customFormat="1" ht="16.5" customHeight="1" x14ac:dyDescent="0.3">
      <c r="A50" s="99" t="s">
        <v>182</v>
      </c>
      <c r="B50" s="102">
        <v>23.945262405448101</v>
      </c>
      <c r="C50" s="102">
        <v>22.919269768365901</v>
      </c>
      <c r="D50" s="102">
        <v>21.851426342712301</v>
      </c>
      <c r="E50" s="102">
        <v>20.220576092579599</v>
      </c>
      <c r="F50" s="102">
        <v>18.9089310363394</v>
      </c>
      <c r="G50" s="102">
        <v>17.4188955775948</v>
      </c>
      <c r="H50" s="102">
        <v>15.9311316357447</v>
      </c>
      <c r="I50" s="102">
        <v>14.416574363491399</v>
      </c>
      <c r="J50" s="102">
        <v>13.5848650677825</v>
      </c>
      <c r="K50" s="102">
        <v>12.9552097118264</v>
      </c>
      <c r="L50" s="102">
        <v>12.461251394801399</v>
      </c>
      <c r="M50" s="102">
        <v>11.535035333015401</v>
      </c>
      <c r="N50" s="102">
        <v>10.5319249458407</v>
      </c>
      <c r="O50" s="102">
        <v>9.6649101430546605</v>
      </c>
      <c r="P50" s="102">
        <v>8.8123494084216905</v>
      </c>
      <c r="Q50" s="102">
        <v>8.0078834800159502</v>
      </c>
      <c r="R50" s="102">
        <v>7.2873243811582897</v>
      </c>
      <c r="S50" s="102">
        <v>6.6115057338628098</v>
      </c>
      <c r="T50" s="102">
        <v>5.9714265354163896</v>
      </c>
    </row>
    <row r="51" spans="1:20" s="99" customFormat="1" ht="16.5" customHeight="1" x14ac:dyDescent="0.3">
      <c r="A51" s="99" t="s">
        <v>183</v>
      </c>
      <c r="B51" s="102">
        <v>1.0679276747575299</v>
      </c>
      <c r="C51" s="102">
        <v>1.0101946443199601</v>
      </c>
      <c r="D51" s="102">
        <v>0.94600556203639596</v>
      </c>
      <c r="E51" s="102">
        <v>0.89793574756650896</v>
      </c>
      <c r="F51" s="102">
        <v>0.86929516187448297</v>
      </c>
      <c r="G51" s="102">
        <v>0.82561643349688396</v>
      </c>
      <c r="H51" s="102">
        <v>0.77216937112454198</v>
      </c>
      <c r="I51" s="102">
        <v>0.65980638158037896</v>
      </c>
      <c r="J51" s="102">
        <v>0.61354217118036503</v>
      </c>
      <c r="K51" s="102">
        <v>0.58285357295246498</v>
      </c>
      <c r="L51" s="102">
        <v>0.56390240567108996</v>
      </c>
      <c r="M51" s="102">
        <v>0.51229536339577497</v>
      </c>
      <c r="N51" s="102">
        <v>0.46160286156084601</v>
      </c>
      <c r="O51" s="102">
        <v>0.41763415847604701</v>
      </c>
      <c r="P51" s="102">
        <v>0.357333032893763</v>
      </c>
      <c r="Q51" s="102">
        <v>0.31666584056543801</v>
      </c>
      <c r="R51" s="102">
        <v>0.27999004340007499</v>
      </c>
      <c r="S51" s="102">
        <v>0.245760299853651</v>
      </c>
      <c r="T51" s="102">
        <v>0.212657358392873</v>
      </c>
    </row>
    <row r="52" spans="1:20" s="99" customFormat="1" ht="16.5" customHeight="1" x14ac:dyDescent="0.3">
      <c r="A52" s="99" t="s">
        <v>184</v>
      </c>
      <c r="B52" s="102">
        <v>1.38631035433912E-2</v>
      </c>
      <c r="C52" s="102">
        <v>1.38482822589547E-2</v>
      </c>
      <c r="D52" s="102">
        <v>1.37652128508098E-2</v>
      </c>
      <c r="E52" s="102">
        <v>1.3706968031558299E-2</v>
      </c>
      <c r="F52" s="102">
        <v>1.3646723068415099E-2</v>
      </c>
      <c r="G52" s="102">
        <v>1.36106973478706E-2</v>
      </c>
      <c r="H52" s="102">
        <v>1.35236883658248E-2</v>
      </c>
      <c r="I52" s="102">
        <v>1.3542047829416501E-2</v>
      </c>
      <c r="J52" s="102">
        <v>1.34654886720889E-2</v>
      </c>
      <c r="K52" s="102">
        <v>1.3449645668608399E-2</v>
      </c>
      <c r="L52" s="102">
        <v>1.35002176360831E-2</v>
      </c>
      <c r="M52" s="102">
        <v>1.3421115040108501E-2</v>
      </c>
      <c r="N52" s="102">
        <v>1.33773280134188E-2</v>
      </c>
      <c r="O52" s="102">
        <v>1.33444145455638E-2</v>
      </c>
      <c r="P52" s="102">
        <v>1.3311525259811101E-2</v>
      </c>
      <c r="Q52" s="102">
        <v>1.3284783814881299E-2</v>
      </c>
      <c r="R52" s="102">
        <v>1.3262897546439299E-2</v>
      </c>
      <c r="S52" s="102">
        <v>1.3244391850742899E-2</v>
      </c>
      <c r="T52" s="102">
        <v>1.3229658301296399E-2</v>
      </c>
    </row>
    <row r="53" spans="1:20" s="99" customFormat="1" ht="16.5" customHeight="1" x14ac:dyDescent="0.3">
      <c r="A53" s="99" t="s">
        <v>185</v>
      </c>
      <c r="B53" s="102">
        <v>3.8432171766130002E-3</v>
      </c>
      <c r="C53" s="102">
        <v>3.84811977197213E-3</v>
      </c>
      <c r="D53" s="102">
        <v>3.8158008640134101E-3</v>
      </c>
      <c r="E53" s="102">
        <v>3.7991181977006599E-3</v>
      </c>
      <c r="F53" s="102">
        <v>3.78348005157261E-3</v>
      </c>
      <c r="G53" s="102">
        <v>3.7773603450401302E-3</v>
      </c>
      <c r="H53" s="102">
        <v>3.7280119620423202E-3</v>
      </c>
      <c r="I53" s="102">
        <v>3.7422469147168902E-3</v>
      </c>
      <c r="J53" s="102">
        <v>3.7091816044565501E-3</v>
      </c>
      <c r="K53" s="102">
        <v>3.69650885330648E-3</v>
      </c>
      <c r="L53" s="102">
        <v>3.7451953238375698E-3</v>
      </c>
      <c r="M53" s="102">
        <v>3.7206026862778201E-3</v>
      </c>
      <c r="N53" s="102">
        <v>3.70076275394874E-3</v>
      </c>
      <c r="O53" s="102">
        <v>3.6889717941687001E-3</v>
      </c>
      <c r="P53" s="102">
        <v>3.6774044941902998E-3</v>
      </c>
      <c r="Q53" s="102">
        <v>3.6688480238090599E-3</v>
      </c>
      <c r="R53" s="102">
        <v>3.6624615146618701E-3</v>
      </c>
      <c r="S53" s="102">
        <v>3.6571230425720899E-3</v>
      </c>
      <c r="T53" s="102">
        <v>3.6533654804511398E-3</v>
      </c>
    </row>
    <row r="54" spans="1:20" s="99" customFormat="1" ht="16.5" customHeight="1" x14ac:dyDescent="0.3">
      <c r="A54" s="100" t="s">
        <v>190</v>
      </c>
      <c r="B54" s="102"/>
      <c r="C54" s="102"/>
      <c r="D54" s="102"/>
      <c r="E54" s="102"/>
      <c r="F54" s="102"/>
      <c r="G54" s="102"/>
      <c r="H54" s="102"/>
      <c r="I54" s="102"/>
      <c r="J54" s="102"/>
      <c r="K54" s="102"/>
      <c r="L54" s="102"/>
      <c r="M54" s="102"/>
      <c r="N54" s="102"/>
      <c r="O54" s="102"/>
      <c r="P54" s="102"/>
      <c r="Q54" s="102"/>
      <c r="R54" s="102"/>
      <c r="S54" s="102"/>
      <c r="T54" s="102"/>
    </row>
    <row r="55" spans="1:20" s="99" customFormat="1" ht="16.5" customHeight="1" x14ac:dyDescent="0.3">
      <c r="A55" s="99" t="s">
        <v>180</v>
      </c>
      <c r="B55" s="102">
        <v>1.5443229965915599</v>
      </c>
      <c r="C55" s="102">
        <v>1.4641372458917701</v>
      </c>
      <c r="D55" s="102">
        <v>1.3404086411284799</v>
      </c>
      <c r="E55" s="102">
        <v>1.2712940175690099</v>
      </c>
      <c r="F55" s="102">
        <v>1.1738642318250601</v>
      </c>
      <c r="G55" s="102">
        <v>1.09405655840905</v>
      </c>
      <c r="H55" s="102">
        <v>1.0438828626968799</v>
      </c>
      <c r="I55" s="102">
        <v>0.98918918270628498</v>
      </c>
      <c r="J55" s="102">
        <v>0.96994310732690903</v>
      </c>
      <c r="K55" s="102">
        <v>0.94533832627195302</v>
      </c>
      <c r="L55" s="102">
        <v>0.91765232484125903</v>
      </c>
      <c r="M55" s="102">
        <v>0.90476293589273704</v>
      </c>
      <c r="N55" s="102">
        <v>0.81465673834720298</v>
      </c>
      <c r="O55" s="102">
        <v>0.74542797436992003</v>
      </c>
      <c r="P55" s="102">
        <v>0.66947409477359998</v>
      </c>
      <c r="Q55" s="102">
        <v>0.60271975890337304</v>
      </c>
      <c r="R55" s="102">
        <v>0.54172052363719903</v>
      </c>
      <c r="S55" s="102">
        <v>0.47417430521580001</v>
      </c>
      <c r="T55" s="102">
        <v>0.42952083226613302</v>
      </c>
    </row>
    <row r="56" spans="1:20" s="99" customFormat="1" ht="16.5" customHeight="1" x14ac:dyDescent="0.3">
      <c r="A56" s="99" t="s">
        <v>181</v>
      </c>
      <c r="B56" s="102">
        <v>16.1063843953294</v>
      </c>
      <c r="C56" s="102">
        <v>15.0568767915886</v>
      </c>
      <c r="D56" s="102">
        <v>13.7104870680866</v>
      </c>
      <c r="E56" s="102">
        <v>12.920567776062899</v>
      </c>
      <c r="F56" s="102">
        <v>11.8692090130263</v>
      </c>
      <c r="G56" s="102">
        <v>11.0577286188737</v>
      </c>
      <c r="H56" s="102">
        <v>10.6194391602865</v>
      </c>
      <c r="I56" s="102">
        <v>10.080626145378501</v>
      </c>
      <c r="J56" s="102">
        <v>9.4957076665536206</v>
      </c>
      <c r="K56" s="102">
        <v>9.1137888559301192</v>
      </c>
      <c r="L56" s="102">
        <v>8.8440916575425099</v>
      </c>
      <c r="M56" s="102">
        <v>8.7138789625131992</v>
      </c>
      <c r="N56" s="102">
        <v>7.9467524994029501</v>
      </c>
      <c r="O56" s="102">
        <v>7.3396969056434802</v>
      </c>
      <c r="P56" s="102">
        <v>6.6993265775478799</v>
      </c>
      <c r="Q56" s="102">
        <v>6.1047621851861997</v>
      </c>
      <c r="R56" s="102">
        <v>5.6040597246586303</v>
      </c>
      <c r="S56" s="102">
        <v>5.0835117264656198</v>
      </c>
      <c r="T56" s="102">
        <v>4.7292978560308301</v>
      </c>
    </row>
    <row r="57" spans="1:20" s="99" customFormat="1" ht="16.5" customHeight="1" x14ac:dyDescent="0.3">
      <c r="A57" s="99" t="s">
        <v>182</v>
      </c>
      <c r="B57" s="102">
        <v>3.8983496928642398</v>
      </c>
      <c r="C57" s="102">
        <v>3.7735672824535502</v>
      </c>
      <c r="D57" s="102">
        <v>3.5152800565946198</v>
      </c>
      <c r="E57" s="102">
        <v>3.3305372064603498</v>
      </c>
      <c r="F57" s="102">
        <v>3.0203134441389401</v>
      </c>
      <c r="G57" s="102">
        <v>2.7696434746149801</v>
      </c>
      <c r="H57" s="102">
        <v>2.66141783925206</v>
      </c>
      <c r="I57" s="102">
        <v>2.4611970878243401</v>
      </c>
      <c r="J57" s="102">
        <v>2.41545898146425</v>
      </c>
      <c r="K57" s="102">
        <v>2.2684438892109098</v>
      </c>
      <c r="L57" s="102">
        <v>2.2121109658439599</v>
      </c>
      <c r="M57" s="102">
        <v>2.0530724331689201</v>
      </c>
      <c r="N57" s="102">
        <v>1.82722693627273</v>
      </c>
      <c r="O57" s="102">
        <v>1.6780422367504</v>
      </c>
      <c r="P57" s="102">
        <v>1.51881062774805</v>
      </c>
      <c r="Q57" s="102">
        <v>1.3750944890441801</v>
      </c>
      <c r="R57" s="102">
        <v>1.2435400286720399</v>
      </c>
      <c r="S57" s="102">
        <v>1.0402199421539999</v>
      </c>
      <c r="T57" s="102">
        <v>0.929173097233842</v>
      </c>
    </row>
    <row r="58" spans="1:20" s="99" customFormat="1" ht="16.5" customHeight="1" x14ac:dyDescent="0.3">
      <c r="A58" s="99" t="s">
        <v>183</v>
      </c>
      <c r="B58" s="102">
        <v>0.124008390445376</v>
      </c>
      <c r="C58" s="102">
        <v>0.119272921070165</v>
      </c>
      <c r="D58" s="102">
        <v>0.10969316034479</v>
      </c>
      <c r="E58" s="102">
        <v>0.105571535770489</v>
      </c>
      <c r="F58" s="102">
        <v>9.8874393400289307E-2</v>
      </c>
      <c r="G58" s="102">
        <v>9.3530170590599995E-2</v>
      </c>
      <c r="H58" s="102">
        <v>9.0533633924889403E-2</v>
      </c>
      <c r="I58" s="102">
        <v>8.0330758410580502E-2</v>
      </c>
      <c r="J58" s="102">
        <v>7.7243676581031095E-2</v>
      </c>
      <c r="K58" s="102">
        <v>7.0420736595822403E-2</v>
      </c>
      <c r="L58" s="102">
        <v>6.8138593599907205E-2</v>
      </c>
      <c r="M58" s="102">
        <v>6.0665941794927798E-2</v>
      </c>
      <c r="N58" s="102">
        <v>5.3403262982011597E-2</v>
      </c>
      <c r="O58" s="102">
        <v>4.9447517439377697E-2</v>
      </c>
      <c r="P58" s="102">
        <v>4.3729757718492801E-2</v>
      </c>
      <c r="Q58" s="102">
        <v>3.9884411165705298E-2</v>
      </c>
      <c r="R58" s="102">
        <v>3.6250353772251401E-2</v>
      </c>
      <c r="S58" s="102">
        <v>3.2486310689378899E-2</v>
      </c>
      <c r="T58" s="102">
        <v>2.88063336873642E-2</v>
      </c>
    </row>
    <row r="59" spans="1:20" s="99" customFormat="1" ht="16.5" customHeight="1" x14ac:dyDescent="0.3">
      <c r="A59" s="99" t="s">
        <v>184</v>
      </c>
      <c r="B59" s="102">
        <v>3.7944947521186601E-3</v>
      </c>
      <c r="C59" s="102">
        <v>3.8123388773436701E-3</v>
      </c>
      <c r="D59" s="102">
        <v>3.7953722924865701E-3</v>
      </c>
      <c r="E59" s="102">
        <v>3.8173213311916299E-3</v>
      </c>
      <c r="F59" s="102">
        <v>3.7818001676298602E-3</v>
      </c>
      <c r="G59" s="102">
        <v>3.77698112868813E-3</v>
      </c>
      <c r="H59" s="102">
        <v>3.8162733607579498E-3</v>
      </c>
      <c r="I59" s="102">
        <v>3.8308829643426299E-3</v>
      </c>
      <c r="J59" s="102">
        <v>3.8653921806957999E-3</v>
      </c>
      <c r="K59" s="102">
        <v>3.79251483593361E-3</v>
      </c>
      <c r="L59" s="102">
        <v>3.7921180339351699E-3</v>
      </c>
      <c r="M59" s="102">
        <v>3.73124829896817E-3</v>
      </c>
      <c r="N59" s="102">
        <v>3.6928682075436899E-3</v>
      </c>
      <c r="O59" s="102">
        <v>3.7152265804916498E-3</v>
      </c>
      <c r="P59" s="102">
        <v>3.7371804621332098E-3</v>
      </c>
      <c r="Q59" s="102">
        <v>3.7683384949650399E-3</v>
      </c>
      <c r="R59" s="102">
        <v>3.7947002258784598E-3</v>
      </c>
      <c r="S59" s="102">
        <v>3.8099785573410499E-3</v>
      </c>
      <c r="T59" s="102">
        <v>3.8194373959320699E-3</v>
      </c>
    </row>
    <row r="60" spans="1:20" s="99" customFormat="1" ht="16.5" customHeight="1" thickBot="1" x14ac:dyDescent="0.35">
      <c r="A60" s="106" t="s">
        <v>185</v>
      </c>
      <c r="B60" s="107">
        <v>1.51822079505403E-3</v>
      </c>
      <c r="C60" s="107">
        <v>1.52395938346835E-3</v>
      </c>
      <c r="D60" s="107">
        <v>1.51859770472445E-3</v>
      </c>
      <c r="E60" s="107">
        <v>1.5229388101786899E-3</v>
      </c>
      <c r="F60" s="107">
        <v>1.51452920027648E-3</v>
      </c>
      <c r="G60" s="107">
        <v>1.51426601011199E-3</v>
      </c>
      <c r="H60" s="107">
        <v>1.5190868008366999E-3</v>
      </c>
      <c r="I60" s="107">
        <v>1.52372874569103E-3</v>
      </c>
      <c r="J60" s="107">
        <v>1.5295463890811201E-3</v>
      </c>
      <c r="K60" s="107">
        <v>1.5126956386982901E-3</v>
      </c>
      <c r="L60" s="107">
        <v>1.51659632689151E-3</v>
      </c>
      <c r="M60" s="107">
        <v>1.5016902183653601E-3</v>
      </c>
      <c r="N60" s="107">
        <v>1.4922981614882099E-3</v>
      </c>
      <c r="O60" s="107">
        <v>1.4966361316746399E-3</v>
      </c>
      <c r="P60" s="107">
        <v>1.5009459592977301E-3</v>
      </c>
      <c r="Q60" s="107">
        <v>1.5074167753976501E-3</v>
      </c>
      <c r="R60" s="107">
        <v>1.5130157066939999E-3</v>
      </c>
      <c r="S60" s="107">
        <v>1.51624138750368E-3</v>
      </c>
      <c r="T60" s="107">
        <v>1.51830023487734E-3</v>
      </c>
    </row>
    <row r="61" spans="1:20" s="108" customFormat="1" ht="12.75" customHeight="1" x14ac:dyDescent="0.2">
      <c r="A61" s="254" t="s">
        <v>191</v>
      </c>
      <c r="B61" s="254"/>
      <c r="C61" s="254"/>
      <c r="D61" s="254"/>
      <c r="E61" s="254"/>
      <c r="F61" s="254"/>
      <c r="G61" s="254"/>
      <c r="H61" s="254"/>
      <c r="I61" s="254"/>
      <c r="J61" s="254"/>
      <c r="K61" s="254"/>
      <c r="L61" s="254"/>
      <c r="M61" s="254"/>
      <c r="N61" s="254"/>
      <c r="O61" s="254"/>
      <c r="P61" s="254"/>
      <c r="Q61" s="254"/>
      <c r="R61" s="254"/>
      <c r="S61" s="254"/>
      <c r="T61" s="254"/>
    </row>
    <row r="62" spans="1:20" s="108" customFormat="1" ht="12.75" customHeight="1" x14ac:dyDescent="0.2">
      <c r="A62" s="255"/>
      <c r="B62" s="255"/>
      <c r="C62" s="255"/>
      <c r="D62" s="255"/>
      <c r="E62" s="255"/>
      <c r="F62" s="255"/>
      <c r="G62" s="255"/>
      <c r="H62" s="255"/>
      <c r="I62" s="255"/>
      <c r="J62" s="255"/>
      <c r="K62" s="255"/>
      <c r="L62" s="255"/>
      <c r="M62" s="255"/>
      <c r="N62" s="255"/>
      <c r="O62" s="255"/>
      <c r="P62" s="255"/>
      <c r="Q62" s="255"/>
      <c r="R62" s="255"/>
      <c r="S62" s="255"/>
      <c r="T62" s="255"/>
    </row>
    <row r="63" spans="1:20" s="108" customFormat="1" ht="12.75" customHeight="1" x14ac:dyDescent="0.2">
      <c r="A63" s="256" t="s">
        <v>192</v>
      </c>
      <c r="B63" s="256"/>
      <c r="C63" s="256"/>
      <c r="D63" s="256"/>
      <c r="E63" s="256"/>
      <c r="F63" s="256"/>
      <c r="G63" s="256"/>
      <c r="H63" s="256"/>
      <c r="I63" s="256"/>
      <c r="J63" s="256"/>
      <c r="K63" s="256"/>
      <c r="L63" s="256"/>
      <c r="M63" s="256"/>
      <c r="N63" s="256"/>
      <c r="O63" s="256"/>
      <c r="P63" s="256"/>
      <c r="Q63" s="256"/>
      <c r="R63" s="256"/>
      <c r="S63" s="256"/>
      <c r="T63" s="256"/>
    </row>
    <row r="64" spans="1:20" s="108" customFormat="1" ht="25.5" customHeight="1" x14ac:dyDescent="0.2">
      <c r="A64" s="255" t="s">
        <v>193</v>
      </c>
      <c r="B64" s="255"/>
      <c r="C64" s="255"/>
      <c r="D64" s="255"/>
      <c r="E64" s="255"/>
      <c r="F64" s="255"/>
      <c r="G64" s="255"/>
      <c r="H64" s="255"/>
      <c r="I64" s="255"/>
      <c r="J64" s="255"/>
      <c r="K64" s="255"/>
      <c r="L64" s="255"/>
      <c r="M64" s="255"/>
      <c r="N64" s="255"/>
      <c r="O64" s="255"/>
      <c r="P64" s="255"/>
      <c r="Q64" s="255"/>
      <c r="R64" s="255"/>
      <c r="S64" s="255"/>
      <c r="T64" s="255"/>
    </row>
    <row r="65" spans="1:20" s="108" customFormat="1" ht="25.5" customHeight="1" x14ac:dyDescent="0.2">
      <c r="A65" s="255" t="s">
        <v>194</v>
      </c>
      <c r="B65" s="255"/>
      <c r="C65" s="255"/>
      <c r="D65" s="255"/>
      <c r="E65" s="255"/>
      <c r="F65" s="255"/>
      <c r="G65" s="255"/>
      <c r="H65" s="255"/>
      <c r="I65" s="255"/>
      <c r="J65" s="255"/>
      <c r="K65" s="255"/>
      <c r="L65" s="255"/>
      <c r="M65" s="255"/>
      <c r="N65" s="255"/>
      <c r="O65" s="255"/>
      <c r="P65" s="255"/>
      <c r="Q65" s="255"/>
      <c r="R65" s="255"/>
      <c r="S65" s="255"/>
      <c r="T65" s="255"/>
    </row>
    <row r="66" spans="1:20" s="108" customFormat="1" ht="12.75" customHeight="1" x14ac:dyDescent="0.2">
      <c r="A66" s="257" t="s">
        <v>195</v>
      </c>
      <c r="B66" s="257"/>
      <c r="C66" s="257"/>
      <c r="D66" s="257"/>
      <c r="E66" s="257"/>
      <c r="F66" s="257"/>
      <c r="G66" s="257"/>
      <c r="H66" s="257"/>
      <c r="I66" s="257"/>
      <c r="J66" s="257"/>
      <c r="K66" s="257"/>
      <c r="L66" s="257"/>
      <c r="M66" s="257"/>
      <c r="N66" s="257"/>
      <c r="O66" s="257"/>
      <c r="P66" s="257"/>
      <c r="Q66" s="257"/>
      <c r="R66" s="257"/>
      <c r="S66" s="257"/>
      <c r="T66" s="257"/>
    </row>
    <row r="67" spans="1:20" s="108" customFormat="1" ht="12.75" customHeight="1" x14ac:dyDescent="0.2">
      <c r="A67" s="257" t="s">
        <v>196</v>
      </c>
      <c r="B67" s="257"/>
      <c r="C67" s="257"/>
      <c r="D67" s="257"/>
      <c r="E67" s="257"/>
      <c r="F67" s="257"/>
      <c r="G67" s="257"/>
      <c r="H67" s="257"/>
      <c r="I67" s="257"/>
      <c r="J67" s="257"/>
      <c r="K67" s="257"/>
      <c r="L67" s="257"/>
      <c r="M67" s="257"/>
      <c r="N67" s="257"/>
      <c r="O67" s="257"/>
      <c r="P67" s="257"/>
      <c r="Q67" s="257"/>
      <c r="R67" s="257"/>
      <c r="S67" s="257"/>
      <c r="T67" s="257"/>
    </row>
    <row r="68" spans="1:20" s="108" customFormat="1" ht="12.75" customHeight="1" x14ac:dyDescent="0.2">
      <c r="A68" s="255" t="s">
        <v>197</v>
      </c>
      <c r="B68" s="255"/>
      <c r="C68" s="255"/>
      <c r="D68" s="255"/>
      <c r="E68" s="255"/>
      <c r="F68" s="255"/>
      <c r="G68" s="255"/>
      <c r="H68" s="255"/>
      <c r="I68" s="255"/>
      <c r="J68" s="255"/>
      <c r="K68" s="255"/>
      <c r="L68" s="255"/>
      <c r="M68" s="255"/>
      <c r="N68" s="255"/>
      <c r="O68" s="255"/>
      <c r="P68" s="255"/>
      <c r="Q68" s="255"/>
      <c r="R68" s="255"/>
      <c r="S68" s="255"/>
      <c r="T68" s="255"/>
    </row>
    <row r="69" spans="1:20" s="108" customFormat="1" ht="12.75" customHeight="1" x14ac:dyDescent="0.2">
      <c r="A69" s="255"/>
      <c r="B69" s="255"/>
      <c r="C69" s="255"/>
      <c r="D69" s="255"/>
      <c r="E69" s="255"/>
      <c r="F69" s="255"/>
      <c r="G69" s="255"/>
      <c r="H69" s="255"/>
      <c r="I69" s="255"/>
      <c r="J69" s="255"/>
      <c r="K69" s="255"/>
      <c r="L69" s="255"/>
      <c r="M69" s="255"/>
      <c r="N69" s="255"/>
      <c r="O69" s="255"/>
      <c r="P69" s="255"/>
      <c r="Q69" s="255"/>
      <c r="R69" s="255"/>
      <c r="S69" s="255"/>
      <c r="T69" s="255"/>
    </row>
    <row r="70" spans="1:20" s="108" customFormat="1" ht="12.75" customHeight="1" x14ac:dyDescent="0.2">
      <c r="A70" s="258" t="s">
        <v>198</v>
      </c>
      <c r="B70" s="258"/>
      <c r="C70" s="258"/>
      <c r="D70" s="258"/>
      <c r="E70" s="258"/>
      <c r="F70" s="258"/>
      <c r="G70" s="258"/>
      <c r="H70" s="258"/>
      <c r="I70" s="258"/>
      <c r="J70" s="258"/>
      <c r="K70" s="258"/>
      <c r="L70" s="258"/>
      <c r="M70" s="258"/>
      <c r="N70" s="258"/>
      <c r="O70" s="258"/>
      <c r="P70" s="258"/>
      <c r="Q70" s="258"/>
      <c r="R70" s="258"/>
      <c r="S70" s="258"/>
      <c r="T70" s="258"/>
    </row>
    <row r="71" spans="1:20" s="108" customFormat="1" ht="12.75" customHeight="1" x14ac:dyDescent="0.2">
      <c r="A71" s="252" t="s">
        <v>199</v>
      </c>
      <c r="B71" s="252"/>
      <c r="C71" s="252"/>
      <c r="D71" s="252"/>
      <c r="E71" s="252"/>
      <c r="F71" s="252"/>
      <c r="G71" s="252"/>
      <c r="H71" s="252"/>
      <c r="I71" s="252"/>
      <c r="J71" s="252"/>
      <c r="K71" s="252"/>
      <c r="L71" s="252"/>
      <c r="M71" s="252"/>
      <c r="N71" s="252"/>
      <c r="O71" s="252"/>
      <c r="P71" s="252"/>
      <c r="Q71" s="252"/>
      <c r="R71" s="252"/>
      <c r="S71" s="252"/>
      <c r="T71" s="252"/>
    </row>
    <row r="72" spans="1:20" s="108" customFormat="1" ht="15" x14ac:dyDescent="0.25">
      <c r="A72" s="128" t="s">
        <v>63</v>
      </c>
      <c r="P72" s="109"/>
    </row>
    <row r="77" spans="1:20" ht="12.75" x14ac:dyDescent="0.2">
      <c r="B77" s="111"/>
      <c r="C77" s="111"/>
      <c r="D77" s="111"/>
      <c r="E77" s="111"/>
      <c r="F77" s="111"/>
      <c r="G77" s="111"/>
      <c r="H77" s="111"/>
      <c r="I77" s="111"/>
      <c r="J77" s="111"/>
      <c r="K77" s="111"/>
      <c r="L77" s="111"/>
      <c r="M77" s="111"/>
      <c r="N77" s="111"/>
      <c r="O77" s="111"/>
      <c r="P77" s="111"/>
      <c r="Q77" s="111"/>
      <c r="R77" s="111"/>
      <c r="S77" s="111"/>
      <c r="T77" s="111"/>
    </row>
  </sheetData>
  <mergeCells count="12">
    <mergeCell ref="A71:T71"/>
    <mergeCell ref="A1:T1"/>
    <mergeCell ref="A61:T61"/>
    <mergeCell ref="A62:T62"/>
    <mergeCell ref="A63:T63"/>
    <mergeCell ref="A64:T64"/>
    <mergeCell ref="A65:T65"/>
    <mergeCell ref="A66:T66"/>
    <mergeCell ref="A67:T67"/>
    <mergeCell ref="A68:T68"/>
    <mergeCell ref="A69:T69"/>
    <mergeCell ref="A70:T70"/>
  </mergeCells>
  <hyperlinks>
    <hyperlink ref="A72" r:id="rId1"/>
  </hyperlinks>
  <pageMargins left="0.89" right="0.75" top="0.75" bottom="0.75" header="0.5" footer="0.5"/>
  <pageSetup scale="66" fitToHeight="0" orientation="landscape" horizontalDpi="4294967292" r:id="rId2"/>
  <headerFooter alignWithMargins="0"/>
  <rowBreaks count="1" manualBreakCount="1">
    <brk id="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zoomScaleNormal="100" workbookViewId="0">
      <selection activeCell="C11" sqref="C11"/>
    </sheetView>
  </sheetViews>
  <sheetFormatPr defaultRowHeight="15" x14ac:dyDescent="0.25"/>
  <cols>
    <col min="1" max="1" width="15.7109375" customWidth="1"/>
    <col min="2" max="2" width="10.7109375" customWidth="1"/>
  </cols>
  <sheetData>
    <row r="1" spans="1:2" x14ac:dyDescent="0.25">
      <c r="A1" s="74" t="s">
        <v>82</v>
      </c>
      <c r="B1" s="115">
        <v>300000</v>
      </c>
    </row>
    <row r="2" spans="1:2" x14ac:dyDescent="0.25">
      <c r="A2" s="74" t="s">
        <v>83</v>
      </c>
      <c r="B2" s="115">
        <v>700000</v>
      </c>
    </row>
    <row r="3" spans="1:2" x14ac:dyDescent="0.25">
      <c r="A3" s="74" t="s">
        <v>84</v>
      </c>
      <c r="B3" s="115">
        <v>250000</v>
      </c>
    </row>
    <row r="4" spans="1:2" x14ac:dyDescent="0.25">
      <c r="A4" s="74" t="s">
        <v>85</v>
      </c>
      <c r="B4" s="116">
        <v>5500000</v>
      </c>
    </row>
    <row r="5" spans="1:2" x14ac:dyDescent="0.25">
      <c r="A5" s="74" t="s">
        <v>86</v>
      </c>
      <c r="B5" s="115">
        <v>1000000</v>
      </c>
    </row>
    <row r="6" spans="1:2" x14ac:dyDescent="0.25">
      <c r="A6" s="74" t="s">
        <v>5</v>
      </c>
      <c r="B6" s="117">
        <f>SUM(B1:B5)</f>
        <v>7750000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7"/>
  <sheetViews>
    <sheetView zoomScale="55" zoomScaleNormal="55" workbookViewId="0">
      <selection activeCell="N48" sqref="N48"/>
    </sheetView>
  </sheetViews>
  <sheetFormatPr defaultRowHeight="15" x14ac:dyDescent="0.25"/>
  <cols>
    <col min="1" max="1" width="10.140625" customWidth="1"/>
    <col min="2" max="2" width="22.140625" customWidth="1"/>
    <col min="3" max="3" width="19.5703125" customWidth="1"/>
    <col min="4" max="4" width="18.140625" customWidth="1"/>
  </cols>
  <sheetData>
    <row r="1" spans="1:4" ht="30" x14ac:dyDescent="0.25">
      <c r="A1" s="123" t="s">
        <v>47</v>
      </c>
      <c r="B1" s="123" t="s">
        <v>48</v>
      </c>
      <c r="C1" s="123" t="s">
        <v>45</v>
      </c>
      <c r="D1" s="123" t="s">
        <v>46</v>
      </c>
    </row>
    <row r="2" spans="1:4" x14ac:dyDescent="0.25">
      <c r="A2" s="150"/>
      <c r="B2" s="151">
        <v>0</v>
      </c>
      <c r="C2" s="151">
        <v>2020</v>
      </c>
      <c r="D2" s="152"/>
    </row>
    <row r="3" spans="1:4" x14ac:dyDescent="0.25">
      <c r="A3" s="150"/>
      <c r="B3" s="151">
        <v>1</v>
      </c>
      <c r="C3" s="151">
        <f>C2+1</f>
        <v>2021</v>
      </c>
      <c r="D3" s="152"/>
    </row>
    <row r="4" spans="1:4" x14ac:dyDescent="0.25">
      <c r="A4" s="150">
        <v>0</v>
      </c>
      <c r="B4" s="151">
        <v>2</v>
      </c>
      <c r="C4" s="151">
        <f t="shared" ref="C4:C44" si="0">C3+1</f>
        <v>2022</v>
      </c>
      <c r="D4" s="152"/>
    </row>
    <row r="5" spans="1:4" x14ac:dyDescent="0.25">
      <c r="A5" s="150">
        <v>1</v>
      </c>
      <c r="B5" s="151">
        <v>3</v>
      </c>
      <c r="C5" s="151">
        <f t="shared" si="0"/>
        <v>2023</v>
      </c>
      <c r="D5" s="152"/>
    </row>
    <row r="6" spans="1:4" x14ac:dyDescent="0.25">
      <c r="A6" s="150">
        <v>2</v>
      </c>
      <c r="B6" s="151">
        <v>4</v>
      </c>
      <c r="C6" s="151">
        <f t="shared" si="0"/>
        <v>2024</v>
      </c>
      <c r="D6" s="152"/>
    </row>
    <row r="7" spans="1:4" x14ac:dyDescent="0.25">
      <c r="A7" s="150">
        <v>3</v>
      </c>
      <c r="B7" s="151">
        <v>5</v>
      </c>
      <c r="C7" s="151">
        <f t="shared" si="0"/>
        <v>2025</v>
      </c>
      <c r="D7" s="152"/>
    </row>
    <row r="8" spans="1:4" x14ac:dyDescent="0.25">
      <c r="A8" s="150">
        <v>4</v>
      </c>
      <c r="B8" s="151">
        <v>6</v>
      </c>
      <c r="C8" s="151">
        <f t="shared" si="0"/>
        <v>2026</v>
      </c>
      <c r="D8" s="152"/>
    </row>
    <row r="9" spans="1:4" x14ac:dyDescent="0.25">
      <c r="A9" s="150">
        <v>5</v>
      </c>
      <c r="B9" s="151">
        <v>7</v>
      </c>
      <c r="C9" s="151">
        <f t="shared" si="0"/>
        <v>2027</v>
      </c>
      <c r="D9" s="152"/>
    </row>
    <row r="10" spans="1:4" x14ac:dyDescent="0.25">
      <c r="A10" s="150">
        <v>6</v>
      </c>
      <c r="B10" s="151">
        <v>8</v>
      </c>
      <c r="C10" s="151">
        <f t="shared" si="0"/>
        <v>2028</v>
      </c>
      <c r="D10" s="152"/>
    </row>
    <row r="11" spans="1:4" x14ac:dyDescent="0.25">
      <c r="A11" s="150">
        <v>7</v>
      </c>
      <c r="B11" s="151">
        <v>9</v>
      </c>
      <c r="C11" s="151">
        <f t="shared" si="0"/>
        <v>2029</v>
      </c>
      <c r="D11" s="152"/>
    </row>
    <row r="12" spans="1:4" x14ac:dyDescent="0.25">
      <c r="A12" s="150">
        <v>8</v>
      </c>
      <c r="B12" s="151">
        <v>10</v>
      </c>
      <c r="C12" s="151">
        <f t="shared" si="0"/>
        <v>2030</v>
      </c>
      <c r="D12" s="152"/>
    </row>
    <row r="13" spans="1:4" x14ac:dyDescent="0.25">
      <c r="A13" s="150">
        <v>9</v>
      </c>
      <c r="B13" s="151">
        <v>11</v>
      </c>
      <c r="C13" s="151">
        <f t="shared" si="0"/>
        <v>2031</v>
      </c>
      <c r="D13" s="152"/>
    </row>
    <row r="14" spans="1:4" x14ac:dyDescent="0.25">
      <c r="A14" s="150">
        <v>10</v>
      </c>
      <c r="B14" s="151">
        <v>12</v>
      </c>
      <c r="C14" s="151">
        <f t="shared" si="0"/>
        <v>2032</v>
      </c>
      <c r="D14" s="152"/>
    </row>
    <row r="15" spans="1:4" x14ac:dyDescent="0.25">
      <c r="A15" s="150">
        <v>11</v>
      </c>
      <c r="B15" s="151">
        <v>13</v>
      </c>
      <c r="C15" s="151">
        <f t="shared" si="0"/>
        <v>2033</v>
      </c>
      <c r="D15" s="152"/>
    </row>
    <row r="16" spans="1:4" x14ac:dyDescent="0.25">
      <c r="A16" s="150">
        <v>12</v>
      </c>
      <c r="B16" s="151">
        <v>14</v>
      </c>
      <c r="C16" s="151">
        <f t="shared" si="0"/>
        <v>2034</v>
      </c>
      <c r="D16" s="152">
        <f>C50*C51+C46*0.05*C47+C48*C46</f>
        <v>1135329</v>
      </c>
    </row>
    <row r="17" spans="1:4" x14ac:dyDescent="0.25">
      <c r="A17" s="150">
        <v>13</v>
      </c>
      <c r="B17" s="151">
        <v>15</v>
      </c>
      <c r="C17" s="151">
        <f t="shared" si="0"/>
        <v>2035</v>
      </c>
      <c r="D17" s="152"/>
    </row>
    <row r="18" spans="1:4" x14ac:dyDescent="0.25">
      <c r="A18" s="150">
        <v>14</v>
      </c>
      <c r="B18" s="151">
        <v>16</v>
      </c>
      <c r="C18" s="151">
        <f t="shared" si="0"/>
        <v>2036</v>
      </c>
      <c r="D18" s="152"/>
    </row>
    <row r="19" spans="1:4" x14ac:dyDescent="0.25">
      <c r="A19" s="150">
        <v>15</v>
      </c>
      <c r="B19" s="151">
        <v>17</v>
      </c>
      <c r="C19" s="151">
        <f t="shared" si="0"/>
        <v>2037</v>
      </c>
      <c r="D19" s="152"/>
    </row>
    <row r="20" spans="1:4" x14ac:dyDescent="0.25">
      <c r="A20" s="150">
        <v>16</v>
      </c>
      <c r="B20" s="151">
        <v>18</v>
      </c>
      <c r="C20" s="151">
        <f t="shared" si="0"/>
        <v>2038</v>
      </c>
      <c r="D20" s="152"/>
    </row>
    <row r="21" spans="1:4" x14ac:dyDescent="0.25">
      <c r="A21" s="150">
        <v>17</v>
      </c>
      <c r="B21" s="151">
        <v>19</v>
      </c>
      <c r="C21" s="151">
        <f t="shared" si="0"/>
        <v>2039</v>
      </c>
      <c r="D21" s="152"/>
    </row>
    <row r="22" spans="1:4" x14ac:dyDescent="0.25">
      <c r="A22" s="150">
        <v>18</v>
      </c>
      <c r="B22" s="151">
        <v>20</v>
      </c>
      <c r="C22" s="151">
        <f t="shared" si="0"/>
        <v>2040</v>
      </c>
      <c r="D22" s="152"/>
    </row>
    <row r="23" spans="1:4" x14ac:dyDescent="0.25">
      <c r="A23" s="150">
        <v>19</v>
      </c>
      <c r="B23" s="151">
        <v>21</v>
      </c>
      <c r="C23" s="151">
        <f t="shared" si="0"/>
        <v>2041</v>
      </c>
      <c r="D23" s="152"/>
    </row>
    <row r="24" spans="1:4" x14ac:dyDescent="0.25">
      <c r="A24" s="150">
        <v>20</v>
      </c>
      <c r="B24" s="151">
        <v>22</v>
      </c>
      <c r="C24" s="151">
        <f t="shared" si="0"/>
        <v>2042</v>
      </c>
      <c r="D24" s="152"/>
    </row>
    <row r="25" spans="1:4" x14ac:dyDescent="0.25">
      <c r="A25" s="150">
        <v>21</v>
      </c>
      <c r="B25" s="151">
        <v>23</v>
      </c>
      <c r="C25" s="151">
        <f t="shared" si="0"/>
        <v>2043</v>
      </c>
      <c r="D25" s="152"/>
    </row>
    <row r="26" spans="1:4" x14ac:dyDescent="0.25">
      <c r="A26" s="150">
        <v>22</v>
      </c>
      <c r="B26" s="151">
        <v>24</v>
      </c>
      <c r="C26" s="151">
        <f t="shared" si="0"/>
        <v>2044</v>
      </c>
      <c r="D26" s="152"/>
    </row>
    <row r="27" spans="1:4" x14ac:dyDescent="0.25">
      <c r="A27" s="150">
        <v>23</v>
      </c>
      <c r="B27" s="151">
        <v>25</v>
      </c>
      <c r="C27" s="151">
        <f t="shared" si="0"/>
        <v>2045</v>
      </c>
      <c r="D27" s="152"/>
    </row>
    <row r="28" spans="1:4" x14ac:dyDescent="0.25">
      <c r="A28" s="150">
        <v>24</v>
      </c>
      <c r="B28" s="151">
        <v>26</v>
      </c>
      <c r="C28" s="151">
        <f t="shared" si="0"/>
        <v>2046</v>
      </c>
      <c r="D28" s="152">
        <f>D16</f>
        <v>1135329</v>
      </c>
    </row>
    <row r="29" spans="1:4" x14ac:dyDescent="0.25">
      <c r="A29" s="150">
        <v>25</v>
      </c>
      <c r="B29" s="151">
        <v>27</v>
      </c>
      <c r="C29" s="151">
        <f t="shared" si="0"/>
        <v>2047</v>
      </c>
      <c r="D29" s="152"/>
    </row>
    <row r="30" spans="1:4" x14ac:dyDescent="0.25">
      <c r="A30" s="150">
        <v>26</v>
      </c>
      <c r="B30" s="151">
        <v>28</v>
      </c>
      <c r="C30" s="151">
        <f t="shared" si="0"/>
        <v>2048</v>
      </c>
      <c r="D30" s="152"/>
    </row>
    <row r="31" spans="1:4" x14ac:dyDescent="0.25">
      <c r="A31" s="150">
        <v>27</v>
      </c>
      <c r="B31" s="151">
        <v>29</v>
      </c>
      <c r="C31" s="151">
        <f t="shared" si="0"/>
        <v>2049</v>
      </c>
      <c r="D31" s="152"/>
    </row>
    <row r="32" spans="1:4" x14ac:dyDescent="0.25">
      <c r="A32" s="150">
        <v>28</v>
      </c>
      <c r="B32" s="151">
        <v>30</v>
      </c>
      <c r="C32" s="151">
        <f t="shared" si="0"/>
        <v>2050</v>
      </c>
      <c r="D32" s="152"/>
    </row>
    <row r="33" spans="1:4" x14ac:dyDescent="0.25">
      <c r="A33" s="150">
        <v>29</v>
      </c>
      <c r="B33" s="151">
        <v>31</v>
      </c>
      <c r="C33" s="151">
        <f t="shared" si="0"/>
        <v>2051</v>
      </c>
      <c r="D33" s="152"/>
    </row>
    <row r="34" spans="1:4" x14ac:dyDescent="0.25">
      <c r="A34" s="150">
        <v>30</v>
      </c>
      <c r="B34" s="151">
        <v>32</v>
      </c>
      <c r="C34" s="151">
        <f t="shared" si="0"/>
        <v>2052</v>
      </c>
      <c r="D34" s="152"/>
    </row>
    <row r="35" spans="1:4" x14ac:dyDescent="0.25">
      <c r="A35" s="150">
        <v>31</v>
      </c>
      <c r="B35" s="151">
        <v>33</v>
      </c>
      <c r="C35" s="151">
        <f t="shared" si="0"/>
        <v>2053</v>
      </c>
      <c r="D35" s="152"/>
    </row>
    <row r="36" spans="1:4" x14ac:dyDescent="0.25">
      <c r="A36" s="150">
        <v>32</v>
      </c>
      <c r="B36" s="151">
        <v>34</v>
      </c>
      <c r="C36" s="151">
        <f t="shared" si="0"/>
        <v>2054</v>
      </c>
      <c r="D36" s="152"/>
    </row>
    <row r="37" spans="1:4" x14ac:dyDescent="0.25">
      <c r="A37" s="150">
        <v>33</v>
      </c>
      <c r="B37" s="151">
        <v>35</v>
      </c>
      <c r="C37" s="151">
        <f t="shared" si="0"/>
        <v>2055</v>
      </c>
      <c r="D37" s="152">
        <f>D28</f>
        <v>1135329</v>
      </c>
    </row>
    <row r="38" spans="1:4" x14ac:dyDescent="0.25">
      <c r="A38" s="150">
        <v>34</v>
      </c>
      <c r="B38" s="151">
        <v>36</v>
      </c>
      <c r="C38" s="151">
        <f t="shared" si="0"/>
        <v>2056</v>
      </c>
      <c r="D38" s="152"/>
    </row>
    <row r="39" spans="1:4" x14ac:dyDescent="0.25">
      <c r="A39" s="150">
        <v>35</v>
      </c>
      <c r="B39" s="151">
        <v>37</v>
      </c>
      <c r="C39" s="151">
        <f t="shared" si="0"/>
        <v>2057</v>
      </c>
      <c r="D39" s="152"/>
    </row>
    <row r="40" spans="1:4" x14ac:dyDescent="0.25">
      <c r="A40" s="150">
        <v>36</v>
      </c>
      <c r="B40" s="151">
        <v>38</v>
      </c>
      <c r="C40" s="151">
        <f t="shared" si="0"/>
        <v>2058</v>
      </c>
      <c r="D40" s="152"/>
    </row>
    <row r="41" spans="1:4" x14ac:dyDescent="0.25">
      <c r="A41" s="150">
        <v>37</v>
      </c>
      <c r="B41" s="151">
        <v>39</v>
      </c>
      <c r="C41" s="151">
        <f t="shared" si="0"/>
        <v>2059</v>
      </c>
      <c r="D41" s="152"/>
    </row>
    <row r="42" spans="1:4" x14ac:dyDescent="0.25">
      <c r="A42" s="150">
        <v>38</v>
      </c>
      <c r="B42" s="151">
        <v>40</v>
      </c>
      <c r="C42" s="151">
        <f t="shared" si="0"/>
        <v>2060</v>
      </c>
      <c r="D42" s="152"/>
    </row>
    <row r="43" spans="1:4" x14ac:dyDescent="0.25">
      <c r="A43" s="150">
        <v>39</v>
      </c>
      <c r="B43" s="151">
        <v>41</v>
      </c>
      <c r="C43" s="151">
        <f t="shared" si="0"/>
        <v>2061</v>
      </c>
      <c r="D43" s="152"/>
    </row>
    <row r="44" spans="1:4" x14ac:dyDescent="0.25">
      <c r="A44" s="153">
        <v>40</v>
      </c>
      <c r="B44" s="154">
        <v>42</v>
      </c>
      <c r="C44" s="154">
        <f t="shared" si="0"/>
        <v>2062</v>
      </c>
      <c r="D44" s="155"/>
    </row>
    <row r="46" spans="1:4" x14ac:dyDescent="0.25">
      <c r="B46" s="9" t="s">
        <v>215</v>
      </c>
      <c r="C46">
        <f>291110/9</f>
        <v>32345.555555555555</v>
      </c>
      <c r="D46" t="s">
        <v>213</v>
      </c>
    </row>
    <row r="47" spans="1:4" x14ac:dyDescent="0.25">
      <c r="B47" s="9" t="s">
        <v>214</v>
      </c>
      <c r="C47" s="37">
        <v>150</v>
      </c>
      <c r="D47" t="s">
        <v>210</v>
      </c>
    </row>
    <row r="48" spans="1:4" x14ac:dyDescent="0.25">
      <c r="B48" s="9" t="s">
        <v>216</v>
      </c>
      <c r="C48" s="37">
        <v>8</v>
      </c>
      <c r="D48" t="s">
        <v>210</v>
      </c>
    </row>
    <row r="49" spans="1:4" x14ac:dyDescent="0.25">
      <c r="B49" s="9"/>
    </row>
    <row r="50" spans="1:4" x14ac:dyDescent="0.25">
      <c r="B50" s="9" t="s">
        <v>217</v>
      </c>
      <c r="C50" s="38">
        <f>C46*2.5*112/2000</f>
        <v>4528.3777777777777</v>
      </c>
      <c r="D50" t="s">
        <v>212</v>
      </c>
    </row>
    <row r="51" spans="1:4" x14ac:dyDescent="0.25">
      <c r="B51" s="9" t="s">
        <v>217</v>
      </c>
      <c r="C51" s="37">
        <v>140</v>
      </c>
      <c r="D51" t="s">
        <v>211</v>
      </c>
    </row>
    <row r="53" spans="1:4" x14ac:dyDescent="0.25">
      <c r="A53" t="s">
        <v>116</v>
      </c>
    </row>
    <row r="54" spans="1:4" x14ac:dyDescent="0.25">
      <c r="A54" t="s">
        <v>233</v>
      </c>
    </row>
    <row r="55" spans="1:4" x14ac:dyDescent="0.25">
      <c r="A55" t="s">
        <v>234</v>
      </c>
    </row>
    <row r="56" spans="1:4" x14ac:dyDescent="0.25">
      <c r="A56" t="s">
        <v>235</v>
      </c>
    </row>
    <row r="57" spans="1:4" x14ac:dyDescent="0.25">
      <c r="A57" t="s">
        <v>236</v>
      </c>
    </row>
  </sheetData>
  <printOptions horizontalCentered="1"/>
  <pageMargins left="0.7" right="0.7" top="0.75" bottom="0.75" header="0.3" footer="0.3"/>
  <pageSetup scale="81" fitToWidth="0" orientation="portrait" r:id="rId1"/>
  <ignoredErrors>
    <ignoredError sqref="C2" calculatedColumn="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zoomScale="85" zoomScaleNormal="85" workbookViewId="0">
      <selection activeCell="L16" sqref="L16"/>
    </sheetView>
  </sheetViews>
  <sheetFormatPr defaultRowHeight="15" x14ac:dyDescent="0.25"/>
  <cols>
    <col min="1" max="1" width="24.28515625" style="87" customWidth="1"/>
    <col min="2" max="2" width="12.28515625" style="87" customWidth="1"/>
    <col min="3" max="3" width="17.28515625" style="87" bestFit="1" customWidth="1"/>
    <col min="4" max="4" width="6.140625" style="87" bestFit="1" customWidth="1"/>
    <col min="5" max="7" width="10.140625" style="87" customWidth="1"/>
    <col min="8" max="16384" width="9.140625" style="87"/>
  </cols>
  <sheetData>
    <row r="1" spans="1:7" ht="30.75" thickBot="1" x14ac:dyDescent="0.3">
      <c r="A1" s="266"/>
      <c r="B1" s="267"/>
      <c r="C1" s="121" t="s">
        <v>136</v>
      </c>
      <c r="D1" s="259" t="s">
        <v>135</v>
      </c>
      <c r="E1" s="259"/>
      <c r="F1" s="121" t="s">
        <v>134</v>
      </c>
      <c r="G1" s="122" t="s">
        <v>133</v>
      </c>
    </row>
    <row r="2" spans="1:7" x14ac:dyDescent="0.25">
      <c r="A2" s="260" t="s">
        <v>226</v>
      </c>
      <c r="B2" s="131" t="s">
        <v>118</v>
      </c>
      <c r="C2" s="132">
        <f>'Bunn at Hamilton'!C20</f>
        <v>0.33333333333333331</v>
      </c>
      <c r="D2" s="133">
        <v>0.61399999999999999</v>
      </c>
      <c r="E2" s="133"/>
      <c r="F2" s="132">
        <f>C2*D2</f>
        <v>0.20466666666666666</v>
      </c>
      <c r="G2" s="134"/>
    </row>
    <row r="3" spans="1:7" ht="15.75" thickBot="1" x14ac:dyDescent="0.3">
      <c r="A3" s="261"/>
      <c r="B3" s="139" t="s">
        <v>117</v>
      </c>
      <c r="C3" s="140">
        <f>'Bunn at Hamilton'!C22</f>
        <v>1.3333333333333333</v>
      </c>
      <c r="D3" s="141">
        <v>0.61399999999999999</v>
      </c>
      <c r="E3" s="141"/>
      <c r="F3" s="140">
        <f>C3*D3</f>
        <v>0.81866666666666665</v>
      </c>
      <c r="G3" s="146"/>
    </row>
    <row r="4" spans="1:7" x14ac:dyDescent="0.25">
      <c r="A4" s="262" t="s">
        <v>124</v>
      </c>
      <c r="B4" s="127" t="s">
        <v>118</v>
      </c>
      <c r="C4" s="142">
        <f>SUM('Roadway Segment'!C17,'Roadway Segment'!C19)</f>
        <v>0.66666666666666663</v>
      </c>
      <c r="D4" s="143">
        <f>D25</f>
        <v>0.89</v>
      </c>
      <c r="E4" s="144">
        <f>D24</f>
        <v>0.56399999999999995</v>
      </c>
      <c r="F4" s="142">
        <f>C4*D4*E4</f>
        <v>0.33463999999999994</v>
      </c>
      <c r="G4" s="145"/>
    </row>
    <row r="5" spans="1:7" ht="15.75" thickBot="1" x14ac:dyDescent="0.3">
      <c r="A5" s="263"/>
      <c r="B5" s="139" t="s">
        <v>117</v>
      </c>
      <c r="C5" s="140">
        <f>'Roadway Segment'!C20</f>
        <v>0</v>
      </c>
      <c r="D5" s="141">
        <f>D25</f>
        <v>0.89</v>
      </c>
      <c r="E5" s="147">
        <f>D24</f>
        <v>0.56399999999999995</v>
      </c>
      <c r="F5" s="141">
        <f>C5*D5*E5</f>
        <v>0</v>
      </c>
      <c r="G5" s="146"/>
    </row>
    <row r="6" spans="1:7" x14ac:dyDescent="0.25">
      <c r="A6" s="264" t="s">
        <v>225</v>
      </c>
      <c r="B6" s="127" t="s">
        <v>118</v>
      </c>
      <c r="C6" s="142">
        <f>SUM('Morissey at Hamilton'!C34,'Morissey at Hamilton'!C35,'Morissey at Hamilton'!C36)</f>
        <v>1.9999999999999998</v>
      </c>
      <c r="D6" s="143">
        <f>D27</f>
        <v>0.72</v>
      </c>
      <c r="E6" s="143">
        <f>D28</f>
        <v>0.92200000000000004</v>
      </c>
      <c r="F6" s="143">
        <f>C6*D6*E6</f>
        <v>1.3276799999999997</v>
      </c>
      <c r="G6" s="145"/>
    </row>
    <row r="7" spans="1:7" ht="15.75" thickBot="1" x14ac:dyDescent="0.3">
      <c r="A7" s="261"/>
      <c r="B7" s="139" t="s">
        <v>117</v>
      </c>
      <c r="C7" s="140">
        <f>'Morissey at Hamilton'!C37</f>
        <v>6</v>
      </c>
      <c r="D7" s="141">
        <f>D27</f>
        <v>0.72</v>
      </c>
      <c r="E7" s="141">
        <f>D28</f>
        <v>0.92200000000000004</v>
      </c>
      <c r="F7" s="141">
        <f>C7*D7*E7</f>
        <v>3.9830400000000004</v>
      </c>
      <c r="G7" s="146"/>
    </row>
    <row r="8" spans="1:7" x14ac:dyDescent="0.25">
      <c r="A8" s="262" t="s">
        <v>5</v>
      </c>
      <c r="B8" s="127" t="s">
        <v>118</v>
      </c>
      <c r="C8" s="142">
        <f>SUM((C2+C4+C6)+('Rail Crossings'!H4))</f>
        <v>3.0334086500000002</v>
      </c>
      <c r="D8" s="143"/>
      <c r="E8" s="143"/>
      <c r="F8" s="142">
        <f>SUM((F2+F4+F6)+'Rail Crossings'!I7)</f>
        <v>1.8830065166666663</v>
      </c>
      <c r="G8" s="148">
        <f>C8-F8</f>
        <v>1.1504021333333339</v>
      </c>
    </row>
    <row r="9" spans="1:7" ht="15.75" thickBot="1" x14ac:dyDescent="0.3">
      <c r="A9" s="265"/>
      <c r="B9" s="135" t="s">
        <v>117</v>
      </c>
      <c r="C9" s="136">
        <f>SUM(C3,C5,C7)</f>
        <v>7.333333333333333</v>
      </c>
      <c r="D9" s="137"/>
      <c r="E9" s="137"/>
      <c r="F9" s="136">
        <f>SUM(F3,F5,F7)</f>
        <v>4.801706666666667</v>
      </c>
      <c r="G9" s="138">
        <f>C9-F9</f>
        <v>2.531626666666666</v>
      </c>
    </row>
    <row r="11" spans="1:7" x14ac:dyDescent="0.25">
      <c r="A11" s="88" t="s">
        <v>116</v>
      </c>
    </row>
    <row r="12" spans="1:7" ht="45" customHeight="1" x14ac:dyDescent="0.25">
      <c r="A12" s="268" t="s">
        <v>220</v>
      </c>
      <c r="B12" s="268"/>
      <c r="C12" s="268"/>
      <c r="D12" s="268"/>
      <c r="E12" s="268"/>
      <c r="F12" s="268"/>
      <c r="G12" s="268"/>
    </row>
    <row r="13" spans="1:7" ht="30" customHeight="1" x14ac:dyDescent="0.25">
      <c r="A13" s="269" t="s">
        <v>204</v>
      </c>
      <c r="B13" s="269"/>
      <c r="C13" s="269"/>
      <c r="D13" s="269"/>
      <c r="E13" s="269"/>
      <c r="F13" s="269"/>
      <c r="G13" s="269"/>
    </row>
    <row r="14" spans="1:7" x14ac:dyDescent="0.25">
      <c r="A14" s="118" t="s">
        <v>205</v>
      </c>
    </row>
    <row r="15" spans="1:7" s="119" customFormat="1" x14ac:dyDescent="0.25">
      <c r="A15" s="268" t="s">
        <v>206</v>
      </c>
      <c r="B15" s="268"/>
      <c r="C15" s="268"/>
      <c r="D15" s="268"/>
      <c r="E15" s="268"/>
      <c r="F15" s="268"/>
      <c r="G15" s="268"/>
    </row>
    <row r="16" spans="1:7" ht="45" customHeight="1" x14ac:dyDescent="0.25">
      <c r="A16" s="268" t="s">
        <v>207</v>
      </c>
      <c r="B16" s="268"/>
      <c r="C16" s="268"/>
      <c r="D16" s="268"/>
      <c r="E16" s="268"/>
      <c r="F16" s="268"/>
      <c r="G16" s="268"/>
    </row>
    <row r="17" spans="1:7" x14ac:dyDescent="0.25">
      <c r="A17" s="270" t="s">
        <v>208</v>
      </c>
      <c r="B17" s="270"/>
      <c r="C17" s="270"/>
      <c r="D17" s="270"/>
      <c r="E17" s="270"/>
      <c r="F17" s="270"/>
      <c r="G17" s="270"/>
    </row>
    <row r="18" spans="1:7" x14ac:dyDescent="0.25">
      <c r="A18" s="270" t="s">
        <v>221</v>
      </c>
      <c r="B18" s="270"/>
      <c r="C18" s="270"/>
      <c r="D18" s="270"/>
      <c r="E18" s="270"/>
      <c r="F18" s="270"/>
      <c r="G18" s="270"/>
    </row>
    <row r="19" spans="1:7" s="95" customFormat="1" x14ac:dyDescent="0.25">
      <c r="A19" s="270" t="s">
        <v>224</v>
      </c>
      <c r="B19" s="270"/>
      <c r="C19" s="270"/>
      <c r="D19" s="270"/>
      <c r="E19" s="270"/>
      <c r="F19" s="270"/>
      <c r="G19" s="270"/>
    </row>
    <row r="20" spans="1:7" s="95" customFormat="1" ht="33" customHeight="1" x14ac:dyDescent="0.25">
      <c r="A20" s="273" t="s">
        <v>231</v>
      </c>
      <c r="B20" s="273"/>
      <c r="C20" s="273"/>
      <c r="D20" s="273"/>
      <c r="E20" s="273"/>
      <c r="F20" s="273"/>
      <c r="G20" s="273"/>
    </row>
    <row r="21" spans="1:7" s="95" customFormat="1" ht="30.75" customHeight="1" x14ac:dyDescent="0.25">
      <c r="A21" s="273" t="s">
        <v>232</v>
      </c>
      <c r="B21" s="273"/>
      <c r="C21" s="273"/>
      <c r="D21" s="273"/>
      <c r="E21" s="273"/>
      <c r="F21" s="273"/>
      <c r="G21" s="273"/>
    </row>
    <row r="23" spans="1:7" x14ac:dyDescent="0.25">
      <c r="A23" s="120" t="s">
        <v>140</v>
      </c>
      <c r="B23" s="120" t="s">
        <v>139</v>
      </c>
      <c r="C23" s="120" t="s">
        <v>138</v>
      </c>
      <c r="D23" s="120" t="s">
        <v>137</v>
      </c>
      <c r="E23" s="272" t="s">
        <v>201</v>
      </c>
      <c r="F23" s="272"/>
      <c r="G23" s="272"/>
    </row>
    <row r="24" spans="1:7" x14ac:dyDescent="0.25">
      <c r="A24" s="87" t="s">
        <v>130</v>
      </c>
      <c r="B24" s="87" t="s">
        <v>132</v>
      </c>
      <c r="C24" s="87" t="s">
        <v>131</v>
      </c>
      <c r="D24" s="89">
        <v>0.56399999999999995</v>
      </c>
      <c r="E24" s="271" t="s">
        <v>230</v>
      </c>
      <c r="F24" s="271"/>
      <c r="G24" s="271"/>
    </row>
    <row r="25" spans="1:7" x14ac:dyDescent="0.25">
      <c r="A25" s="87" t="s">
        <v>130</v>
      </c>
      <c r="B25" s="87" t="s">
        <v>129</v>
      </c>
      <c r="C25" s="87" t="s">
        <v>128</v>
      </c>
      <c r="D25" s="87">
        <f>0.89</f>
        <v>0.89</v>
      </c>
      <c r="E25" s="271" t="s">
        <v>219</v>
      </c>
      <c r="F25" s="271"/>
      <c r="G25" s="271"/>
    </row>
    <row r="26" spans="1:7" x14ac:dyDescent="0.25">
      <c r="A26" s="87" t="s">
        <v>127</v>
      </c>
      <c r="B26" s="87" t="s">
        <v>126</v>
      </c>
      <c r="C26" s="87" t="s">
        <v>125</v>
      </c>
      <c r="D26" s="87">
        <v>0.61399999999999999</v>
      </c>
      <c r="E26" s="271" t="s">
        <v>218</v>
      </c>
      <c r="F26" s="271"/>
      <c r="G26" s="271"/>
    </row>
    <row r="27" spans="1:7" x14ac:dyDescent="0.25">
      <c r="A27" s="87" t="s">
        <v>121</v>
      </c>
      <c r="B27" s="87" t="s">
        <v>123</v>
      </c>
      <c r="C27" s="87" t="s">
        <v>122</v>
      </c>
      <c r="D27" s="87">
        <v>0.72</v>
      </c>
      <c r="E27" s="271" t="s">
        <v>223</v>
      </c>
      <c r="F27" s="271"/>
      <c r="G27" s="271"/>
    </row>
    <row r="28" spans="1:7" x14ac:dyDescent="0.25">
      <c r="A28" s="87" t="s">
        <v>121</v>
      </c>
      <c r="B28" s="87" t="s">
        <v>120</v>
      </c>
      <c r="C28" s="87" t="s">
        <v>119</v>
      </c>
      <c r="D28" s="87">
        <v>0.92200000000000004</v>
      </c>
      <c r="E28" s="271" t="s">
        <v>222</v>
      </c>
      <c r="F28" s="271"/>
      <c r="G28" s="271"/>
    </row>
  </sheetData>
  <mergeCells count="21">
    <mergeCell ref="A18:G18"/>
    <mergeCell ref="E28:G28"/>
    <mergeCell ref="E27:G27"/>
    <mergeCell ref="E26:G26"/>
    <mergeCell ref="E25:G25"/>
    <mergeCell ref="E24:G24"/>
    <mergeCell ref="E23:G23"/>
    <mergeCell ref="A19:G19"/>
    <mergeCell ref="A20:G20"/>
    <mergeCell ref="A21:G21"/>
    <mergeCell ref="A12:G12"/>
    <mergeCell ref="A13:G13"/>
    <mergeCell ref="A15:G15"/>
    <mergeCell ref="A16:G16"/>
    <mergeCell ref="A17:G17"/>
    <mergeCell ref="D1:E1"/>
    <mergeCell ref="A2:A3"/>
    <mergeCell ref="A4:A5"/>
    <mergeCell ref="A6:A7"/>
    <mergeCell ref="A8:A9"/>
    <mergeCell ref="A1:B1"/>
  </mergeCells>
  <hyperlinks>
    <hyperlink ref="A13" r:id="rId1" display="http://www.cmfclearinghouse.org/detail.cfm?facid=2375"/>
    <hyperlink ref="E26:G26" r:id="rId2" display="CMF 7982"/>
    <hyperlink ref="E25:G25" r:id="rId3" display="CMF 2375"/>
    <hyperlink ref="E28:G28" r:id="rId4" display="CMF 4176"/>
    <hyperlink ref="E27:G27" r:id="rId5" display="CMF 1414"/>
    <hyperlink ref="E24:G24" r:id="rId6" display="CMF 9418"/>
  </hyperlinks>
  <pageMargins left="0.7" right="0.7" top="0.75" bottom="0.75" header="0.3" footer="0.3"/>
  <pageSetup fitToHeight="0" orientation="portrait" r:id="rId7"/>
  <ignoredErrors>
    <ignoredError sqref="D5:D6"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sqref="A1:D22"/>
    </sheetView>
  </sheetViews>
  <sheetFormatPr defaultRowHeight="15" x14ac:dyDescent="0.25"/>
  <cols>
    <col min="1" max="1" width="13.85546875" bestFit="1" customWidth="1"/>
    <col min="3" max="3" width="30.85546875" bestFit="1" customWidth="1"/>
    <col min="4" max="4" width="16.7109375" bestFit="1" customWidth="1"/>
    <col min="5" max="5" width="14.85546875" bestFit="1" customWidth="1"/>
    <col min="6" max="6" width="5.42578125" bestFit="1" customWidth="1"/>
    <col min="7" max="7" width="17" bestFit="1" customWidth="1"/>
    <col min="8" max="8" width="7.85546875" customWidth="1"/>
    <col min="9" max="9" width="12.42578125" bestFit="1" customWidth="1"/>
    <col min="13" max="13" width="26" bestFit="1" customWidth="1"/>
    <col min="15" max="15" width="4" bestFit="1" customWidth="1"/>
  </cols>
  <sheetData>
    <row r="1" spans="1:15" x14ac:dyDescent="0.25">
      <c r="A1" s="92" t="s">
        <v>158</v>
      </c>
    </row>
    <row r="2" spans="1:15" x14ac:dyDescent="0.25">
      <c r="A2" s="157" t="s">
        <v>227</v>
      </c>
    </row>
    <row r="3" spans="1:15" x14ac:dyDescent="0.25">
      <c r="A3" s="92"/>
    </row>
    <row r="4" spans="1:15" x14ac:dyDescent="0.25">
      <c r="A4" s="92" t="s">
        <v>155</v>
      </c>
    </row>
    <row r="5" spans="1:15" x14ac:dyDescent="0.25">
      <c r="A5" s="156">
        <v>201001057540</v>
      </c>
      <c r="B5">
        <v>2010</v>
      </c>
      <c r="C5" t="s">
        <v>176</v>
      </c>
      <c r="D5" t="s">
        <v>175</v>
      </c>
      <c r="E5" s="90">
        <v>40201.006249999999</v>
      </c>
      <c r="F5" t="s">
        <v>152</v>
      </c>
      <c r="G5" t="s">
        <v>151</v>
      </c>
      <c r="H5" t="s">
        <v>150</v>
      </c>
      <c r="I5" t="s">
        <v>149</v>
      </c>
      <c r="J5" t="s">
        <v>174</v>
      </c>
      <c r="K5" t="s">
        <v>173</v>
      </c>
      <c r="L5" t="s">
        <v>146</v>
      </c>
      <c r="M5" t="s">
        <v>172</v>
      </c>
      <c r="O5" t="s">
        <v>144</v>
      </c>
    </row>
    <row r="6" spans="1:15" x14ac:dyDescent="0.25">
      <c r="A6" s="156"/>
      <c r="E6" s="90"/>
    </row>
    <row r="7" spans="1:15" x14ac:dyDescent="0.25">
      <c r="A7" s="92" t="s">
        <v>143</v>
      </c>
    </row>
    <row r="8" spans="1:15" x14ac:dyDescent="0.25">
      <c r="A8" s="156">
        <v>200901045145</v>
      </c>
      <c r="B8">
        <v>2009</v>
      </c>
      <c r="C8" t="s">
        <v>168</v>
      </c>
      <c r="D8" t="s">
        <v>153</v>
      </c>
      <c r="E8" s="90">
        <v>39839.27847222222</v>
      </c>
      <c r="F8" t="s">
        <v>152</v>
      </c>
      <c r="G8" t="s">
        <v>151</v>
      </c>
      <c r="H8" t="s">
        <v>150</v>
      </c>
      <c r="I8" t="s">
        <v>149</v>
      </c>
      <c r="J8" t="s">
        <v>171</v>
      </c>
      <c r="K8" t="s">
        <v>147</v>
      </c>
      <c r="L8" t="s">
        <v>170</v>
      </c>
      <c r="M8" t="s">
        <v>169</v>
      </c>
      <c r="O8" t="s">
        <v>165</v>
      </c>
    </row>
    <row r="9" spans="1:15" x14ac:dyDescent="0.25">
      <c r="A9" s="156">
        <v>200901283836</v>
      </c>
      <c r="B9">
        <v>2009</v>
      </c>
      <c r="C9" t="s">
        <v>168</v>
      </c>
      <c r="D9" t="s">
        <v>167</v>
      </c>
      <c r="E9" s="90">
        <v>40023.640972222223</v>
      </c>
      <c r="F9" t="s">
        <v>152</v>
      </c>
      <c r="G9" t="s">
        <v>151</v>
      </c>
      <c r="H9" t="s">
        <v>150</v>
      </c>
      <c r="I9" t="s">
        <v>149</v>
      </c>
      <c r="J9" t="s">
        <v>148</v>
      </c>
      <c r="K9" t="s">
        <v>147</v>
      </c>
      <c r="L9" t="s">
        <v>156</v>
      </c>
      <c r="M9" t="s">
        <v>166</v>
      </c>
      <c r="O9" t="s">
        <v>165</v>
      </c>
    </row>
    <row r="10" spans="1:15" x14ac:dyDescent="0.25">
      <c r="A10" s="156"/>
      <c r="E10" s="90"/>
    </row>
    <row r="11" spans="1:15" x14ac:dyDescent="0.25">
      <c r="A11" s="92" t="s">
        <v>142</v>
      </c>
    </row>
    <row r="12" spans="1:15" x14ac:dyDescent="0.25">
      <c r="A12" s="157" t="s">
        <v>227</v>
      </c>
    </row>
    <row r="13" spans="1:15" s="159" customFormat="1" x14ac:dyDescent="0.25">
      <c r="A13" s="158"/>
    </row>
    <row r="14" spans="1:15" x14ac:dyDescent="0.25">
      <c r="A14" s="92" t="s">
        <v>143</v>
      </c>
    </row>
    <row r="15" spans="1:15" x14ac:dyDescent="0.25">
      <c r="A15" s="156">
        <v>200901045145</v>
      </c>
      <c r="B15">
        <v>2009</v>
      </c>
      <c r="C15" t="s">
        <v>168</v>
      </c>
      <c r="D15" t="s">
        <v>153</v>
      </c>
      <c r="E15" s="90">
        <v>39839.27847222222</v>
      </c>
      <c r="F15" t="s">
        <v>152</v>
      </c>
      <c r="G15" t="s">
        <v>151</v>
      </c>
      <c r="H15" t="s">
        <v>150</v>
      </c>
      <c r="I15" t="s">
        <v>149</v>
      </c>
      <c r="J15" t="s">
        <v>171</v>
      </c>
      <c r="K15" t="s">
        <v>147</v>
      </c>
      <c r="L15" t="s">
        <v>170</v>
      </c>
      <c r="M15" t="s">
        <v>169</v>
      </c>
      <c r="O15" t="s">
        <v>165</v>
      </c>
    </row>
    <row r="16" spans="1:15" x14ac:dyDescent="0.25">
      <c r="A16" s="156">
        <v>200901283836</v>
      </c>
      <c r="B16">
        <v>2009</v>
      </c>
      <c r="C16" t="s">
        <v>168</v>
      </c>
      <c r="D16" t="s">
        <v>167</v>
      </c>
      <c r="E16" s="90">
        <v>40023.640972222223</v>
      </c>
      <c r="F16" t="s">
        <v>152</v>
      </c>
      <c r="G16" t="s">
        <v>151</v>
      </c>
      <c r="H16" t="s">
        <v>150</v>
      </c>
      <c r="I16" t="s">
        <v>149</v>
      </c>
      <c r="J16" t="s">
        <v>148</v>
      </c>
      <c r="K16" t="s">
        <v>147</v>
      </c>
      <c r="L16" t="s">
        <v>156</v>
      </c>
      <c r="M16" t="s">
        <v>166</v>
      </c>
      <c r="O16" t="s">
        <v>165</v>
      </c>
    </row>
    <row r="18" spans="1:3" x14ac:dyDescent="0.25">
      <c r="B18" s="160" t="s">
        <v>5</v>
      </c>
      <c r="C18" s="160" t="s">
        <v>228</v>
      </c>
    </row>
    <row r="19" spans="1:3" x14ac:dyDescent="0.25">
      <c r="A19" s="92" t="s">
        <v>158</v>
      </c>
      <c r="B19">
        <v>0</v>
      </c>
      <c r="C19">
        <f>B19/3</f>
        <v>0</v>
      </c>
    </row>
    <row r="20" spans="1:3" x14ac:dyDescent="0.25">
      <c r="A20" s="92" t="s">
        <v>112</v>
      </c>
      <c r="B20">
        <v>1</v>
      </c>
      <c r="C20">
        <f>B20/3</f>
        <v>0.33333333333333331</v>
      </c>
    </row>
    <row r="21" spans="1:3" x14ac:dyDescent="0.25">
      <c r="A21" s="92" t="s">
        <v>164</v>
      </c>
      <c r="B21">
        <v>0</v>
      </c>
      <c r="C21">
        <f>B21/3</f>
        <v>0</v>
      </c>
    </row>
    <row r="22" spans="1:3" x14ac:dyDescent="0.25">
      <c r="A22" s="92" t="s">
        <v>117</v>
      </c>
      <c r="B22">
        <v>4</v>
      </c>
      <c r="C22">
        <f>B22/3</f>
        <v>1.3333333333333333</v>
      </c>
    </row>
  </sheetData>
  <pageMargins left="0.7" right="0.7" top="0.75" bottom="0.75" header="0.3" footer="0.3"/>
  <pageSetup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Total Benefits</vt:lpstr>
      <vt:lpstr>Discounted BC (30)</vt:lpstr>
      <vt:lpstr>Delay</vt:lpstr>
      <vt:lpstr>Emissions Rates</vt:lpstr>
      <vt:lpstr>Emissions</vt:lpstr>
      <vt:lpstr>Cost Estimate</vt:lpstr>
      <vt:lpstr>Maintenance</vt:lpstr>
      <vt:lpstr>Road Crash Summary</vt:lpstr>
      <vt:lpstr>Bunn at Hamilton</vt:lpstr>
      <vt:lpstr>Roadway Segment</vt:lpstr>
      <vt:lpstr>Morissey at Hamilton</vt:lpstr>
      <vt:lpstr>Rail Crossings</vt:lpstr>
    </vt:vector>
  </TitlesOfParts>
  <Company>Hanson Professional Services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Becca Wagner</dc:creator>
  <cp:lastModifiedBy>Michael Hill</cp:lastModifiedBy>
  <cp:lastPrinted>2020-05-11T21:07:48Z</cp:lastPrinted>
  <dcterms:created xsi:type="dcterms:W3CDTF">2016-11-22T19:20:05Z</dcterms:created>
  <dcterms:modified xsi:type="dcterms:W3CDTF">2020-05-14T22:04:35Z</dcterms:modified>
</cp:coreProperties>
</file>